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AG Vordruckwesen\Fortschreibung FRL 2023\KuF 4.0\"/>
    </mc:Choice>
  </mc:AlternateContent>
  <xr:revisionPtr revIDLastSave="0" documentId="8_{C5A2F53D-1211-4D5B-993D-11989CEB3F13}" xr6:coauthVersionLast="36" xr6:coauthVersionMax="36" xr10:uidLastSave="{00000000-0000-0000-0000-000000000000}"/>
  <bookViews>
    <workbookView xWindow="0" yWindow="0" windowWidth="28800" windowHeight="12180" xr2:uid="{00000000-000D-0000-FFFF-FFFF00000000}"/>
  </bookViews>
  <sheets>
    <sheet name="Start" sheetId="6" r:id="rId1"/>
    <sheet name="grunds. zuwendungsf. Ausgaben" sheetId="5" r:id="rId2"/>
    <sheet name="weitere Ausgaben" sheetId="7" r:id="rId3"/>
    <sheet name="Einnahmen" sheetId="12" r:id="rId4"/>
    <sheet name="Bewilligungen" sheetId="9" r:id="rId5"/>
    <sheet name="Förderantrag" sheetId="13" r:id="rId6"/>
    <sheet name="KuF Zusammenfassung" sheetId="3" r:id="rId7"/>
    <sheet name="Fördertatbestände" sheetId="2" r:id="rId8"/>
    <sheet name="Umsetzungsphasen" sheetId="4" r:id="rId9"/>
  </sheets>
  <definedNames>
    <definedName name="_xlnm._FilterDatabase" localSheetId="6" hidden="1">'KuF Zusammenfassung'!$A$56:$K$106</definedName>
    <definedName name="Auswahl_Projekte" localSheetId="3">Zuw_Ausgaben_KuF[B]</definedName>
    <definedName name="Auswahl_Projekte">Zuw_Ausgaben_KuF[B]</definedName>
    <definedName name="_xlnm.Print_Area" localSheetId="4">Bewilligungen!$A$1:$T$19</definedName>
    <definedName name="_xlnm.Print_Area" localSheetId="5">Förderantrag!$A$1:$K$39</definedName>
    <definedName name="_xlnm.Print_Area" localSheetId="6">'KuF Zusammenfassung'!$A$3:$S$107</definedName>
    <definedName name="_xlnm.Print_Area" localSheetId="0">Start!$A$1:$B$26</definedName>
    <definedName name="_xlnm.Print_Titles" localSheetId="3">Einnahmen!$5:$7</definedName>
    <definedName name="_xlnm.Print_Titles" localSheetId="1">'grunds. zuwendungsf. Ausgaben'!$5:$8</definedName>
    <definedName name="_xlnm.Print_Titles" localSheetId="6">'KuF Zusammenfassung'!$53:$55</definedName>
    <definedName name="_xlnm.Print_Titles" localSheetId="2">'weitere Ausgaben'!$28:$30</definedName>
  </definedNames>
  <calcPr calcId="191028"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6" l="1"/>
  <c r="D25" i="6"/>
  <c r="D23" i="13"/>
  <c r="A2" i="5"/>
  <c r="A3" i="5"/>
  <c r="H5" i="5"/>
  <c r="J7" i="5"/>
  <c r="J5" i="5"/>
  <c r="D9" i="6"/>
  <c r="D8" i="6"/>
  <c r="K3" i="3"/>
  <c r="A2" i="13"/>
  <c r="C49" i="3"/>
  <c r="K39" i="13"/>
  <c r="K49" i="3"/>
  <c r="J49" i="3"/>
  <c r="I49" i="3"/>
  <c r="H49" i="3"/>
  <c r="G49" i="3"/>
  <c r="D49" i="3"/>
  <c r="K44" i="3"/>
  <c r="J44" i="3"/>
  <c r="I44" i="3"/>
  <c r="H44" i="3"/>
  <c r="G44" i="3"/>
  <c r="F44" i="3"/>
  <c r="C41" i="3"/>
  <c r="A3" i="13"/>
  <c r="F37" i="13"/>
  <c r="G37" i="13"/>
  <c r="H37" i="13"/>
  <c r="I37" i="13"/>
  <c r="J37" i="13"/>
  <c r="A2" i="9"/>
  <c r="E29" i="13"/>
  <c r="F29" i="13"/>
  <c r="G29" i="13"/>
  <c r="H29" i="13"/>
  <c r="I29" i="13"/>
  <c r="J29" i="13"/>
  <c r="E21" i="13"/>
  <c r="F21" i="13"/>
  <c r="G21" i="13"/>
  <c r="H21" i="13"/>
  <c r="I21" i="13"/>
  <c r="J21" i="13"/>
  <c r="K21" i="13"/>
  <c r="E7" i="13"/>
  <c r="L27" i="13"/>
  <c r="B24" i="13"/>
  <c r="B25" i="13"/>
  <c r="B19" i="13"/>
  <c r="L23" i="13"/>
  <c r="J24" i="13"/>
  <c r="J25" i="13"/>
  <c r="C43" i="3"/>
  <c r="D29" i="13"/>
  <c r="C24" i="13"/>
  <c r="E24" i="13"/>
  <c r="E25" i="13"/>
  <c r="F24" i="13"/>
  <c r="F25" i="13"/>
  <c r="H24" i="13"/>
  <c r="H25" i="13"/>
  <c r="I24" i="13"/>
  <c r="I25" i="13"/>
  <c r="G24" i="13"/>
  <c r="G25" i="13"/>
  <c r="C25" i="13"/>
  <c r="D43" i="3"/>
  <c r="B42" i="3"/>
  <c r="H26" i="13"/>
  <c r="I43" i="3"/>
  <c r="G26" i="13"/>
  <c r="H43" i="3"/>
  <c r="F26" i="13"/>
  <c r="G43" i="3"/>
  <c r="E26" i="13"/>
  <c r="F43" i="3"/>
  <c r="J26" i="13"/>
  <c r="I26" i="13"/>
  <c r="J43" i="3"/>
  <c r="K24" i="13"/>
  <c r="K25" i="13"/>
  <c r="D20" i="6"/>
  <c r="E19" i="9"/>
  <c r="Q19" i="9"/>
  <c r="P19" i="9"/>
  <c r="O19" i="9"/>
  <c r="N19" i="9"/>
  <c r="M19" i="9"/>
  <c r="L19" i="9"/>
  <c r="K19" i="9"/>
  <c r="J19" i="9"/>
  <c r="I19" i="9"/>
  <c r="H19" i="9"/>
  <c r="G19" i="9"/>
  <c r="F19" i="9"/>
  <c r="D21" i="13"/>
  <c r="D22" i="13"/>
  <c r="K26" i="13"/>
  <c r="K43" i="3"/>
  <c r="A2" i="12"/>
  <c r="A2" i="7"/>
  <c r="R30" i="12"/>
  <c r="R27" i="12"/>
  <c r="R28" i="12"/>
  <c r="R29" i="12"/>
  <c r="R26" i="12"/>
  <c r="R31" i="12"/>
  <c r="R23" i="12"/>
  <c r="R24" i="12"/>
  <c r="R18" i="12"/>
  <c r="R25" i="12"/>
  <c r="B12" i="6"/>
  <c r="A4" i="6"/>
  <c r="D22" i="6"/>
  <c r="C9" i="9"/>
  <c r="D19" i="6"/>
  <c r="D18" i="6"/>
  <c r="D14" i="6"/>
  <c r="I9" i="3"/>
  <c r="D7" i="3"/>
  <c r="D6" i="3"/>
  <c r="D5" i="3"/>
  <c r="D3" i="3"/>
  <c r="D9" i="3"/>
  <c r="D10" i="3"/>
  <c r="D11" i="3"/>
  <c r="D16" i="6"/>
  <c r="D15" i="6"/>
  <c r="D11" i="6"/>
  <c r="D6" i="6"/>
  <c r="D7" i="6"/>
  <c r="D23" i="6"/>
  <c r="D4" i="6"/>
  <c r="M3" i="3"/>
  <c r="M4" i="3"/>
  <c r="J17" i="13"/>
  <c r="H17" i="13"/>
  <c r="G17" i="13"/>
  <c r="F17" i="13"/>
  <c r="E17" i="13"/>
  <c r="I17" i="13"/>
  <c r="D17" i="13"/>
  <c r="J60" i="3"/>
  <c r="J68" i="3"/>
  <c r="J76" i="3"/>
  <c r="J84" i="3"/>
  <c r="J92" i="3"/>
  <c r="J100" i="3"/>
  <c r="I58" i="3"/>
  <c r="I66" i="3"/>
  <c r="I74" i="3"/>
  <c r="I82" i="3"/>
  <c r="I90" i="3"/>
  <c r="I98" i="3"/>
  <c r="H56" i="3"/>
  <c r="H64" i="3"/>
  <c r="H72" i="3"/>
  <c r="H80" i="3"/>
  <c r="H88" i="3"/>
  <c r="H96" i="3"/>
  <c r="H104" i="3"/>
  <c r="G62" i="3"/>
  <c r="G70" i="3"/>
  <c r="G78" i="3"/>
  <c r="G86" i="3"/>
  <c r="G94" i="3"/>
  <c r="G102" i="3"/>
  <c r="F60" i="3"/>
  <c r="F68" i="3"/>
  <c r="F76" i="3"/>
  <c r="F84" i="3"/>
  <c r="F92" i="3"/>
  <c r="F100" i="3"/>
  <c r="E58" i="3"/>
  <c r="E66" i="3"/>
  <c r="E74" i="3"/>
  <c r="E82" i="3"/>
  <c r="E90" i="3"/>
  <c r="E98" i="3"/>
  <c r="J82" i="3"/>
  <c r="H70" i="3"/>
  <c r="G60" i="3"/>
  <c r="F66" i="3"/>
  <c r="E64" i="3"/>
  <c r="J91" i="3"/>
  <c r="I89" i="3"/>
  <c r="H79" i="3"/>
  <c r="G61" i="3"/>
  <c r="G85" i="3"/>
  <c r="J61" i="3"/>
  <c r="J69" i="3"/>
  <c r="J77" i="3"/>
  <c r="J85" i="3"/>
  <c r="J93" i="3"/>
  <c r="J101" i="3"/>
  <c r="I59" i="3"/>
  <c r="I67" i="3"/>
  <c r="I75" i="3"/>
  <c r="I83" i="3"/>
  <c r="I91" i="3"/>
  <c r="I99" i="3"/>
  <c r="H57" i="3"/>
  <c r="H65" i="3"/>
  <c r="H73" i="3"/>
  <c r="H81" i="3"/>
  <c r="H89" i="3"/>
  <c r="H97" i="3"/>
  <c r="H105" i="3"/>
  <c r="G63" i="3"/>
  <c r="G71" i="3"/>
  <c r="G79" i="3"/>
  <c r="G87" i="3"/>
  <c r="G95" i="3"/>
  <c r="G103" i="3"/>
  <c r="F61" i="3"/>
  <c r="F69" i="3"/>
  <c r="F77" i="3"/>
  <c r="F85" i="3"/>
  <c r="F93" i="3"/>
  <c r="F101" i="3"/>
  <c r="E59" i="3"/>
  <c r="E67" i="3"/>
  <c r="E75" i="3"/>
  <c r="E83" i="3"/>
  <c r="E91" i="3"/>
  <c r="E99" i="3"/>
  <c r="J90" i="3"/>
  <c r="H78" i="3"/>
  <c r="G92" i="3"/>
  <c r="E56" i="3"/>
  <c r="J59" i="3"/>
  <c r="J99" i="3"/>
  <c r="I105" i="3"/>
  <c r="G69" i="3"/>
  <c r="J62" i="3"/>
  <c r="J70" i="3"/>
  <c r="J78" i="3"/>
  <c r="J86" i="3"/>
  <c r="J94" i="3"/>
  <c r="J102" i="3"/>
  <c r="I60" i="3"/>
  <c r="I68" i="3"/>
  <c r="I76" i="3"/>
  <c r="I84" i="3"/>
  <c r="I92" i="3"/>
  <c r="I100" i="3"/>
  <c r="H58" i="3"/>
  <c r="H66" i="3"/>
  <c r="H74" i="3"/>
  <c r="H82" i="3"/>
  <c r="H90" i="3"/>
  <c r="H98" i="3"/>
  <c r="G56" i="3"/>
  <c r="G64" i="3"/>
  <c r="G72" i="3"/>
  <c r="G80" i="3"/>
  <c r="G88" i="3"/>
  <c r="G96" i="3"/>
  <c r="G104" i="3"/>
  <c r="F62" i="3"/>
  <c r="F70" i="3"/>
  <c r="F78" i="3"/>
  <c r="F86" i="3"/>
  <c r="F94" i="3"/>
  <c r="F102" i="3"/>
  <c r="E60" i="3"/>
  <c r="E68" i="3"/>
  <c r="E76" i="3"/>
  <c r="E84" i="3"/>
  <c r="E92" i="3"/>
  <c r="E100" i="3"/>
  <c r="J64" i="3"/>
  <c r="J80" i="3"/>
  <c r="J96" i="3"/>
  <c r="I62" i="3"/>
  <c r="I78" i="3"/>
  <c r="I94" i="3"/>
  <c r="I102" i="3"/>
  <c r="H68" i="3"/>
  <c r="H92" i="3"/>
  <c r="G58" i="3"/>
  <c r="G82" i="3"/>
  <c r="G98" i="3"/>
  <c r="F64" i="3"/>
  <c r="F80" i="3"/>
  <c r="F96" i="3"/>
  <c r="E62" i="3"/>
  <c r="E70" i="3"/>
  <c r="E86" i="3"/>
  <c r="E102" i="3"/>
  <c r="J66" i="3"/>
  <c r="J98" i="3"/>
  <c r="I80" i="3"/>
  <c r="I104" i="3"/>
  <c r="H102" i="3"/>
  <c r="G76" i="3"/>
  <c r="G100" i="3"/>
  <c r="F82" i="3"/>
  <c r="E80" i="3"/>
  <c r="E104" i="3"/>
  <c r="J75" i="3"/>
  <c r="I65" i="3"/>
  <c r="I97" i="3"/>
  <c r="H71" i="3"/>
  <c r="H95" i="3"/>
  <c r="J63" i="3"/>
  <c r="J71" i="3"/>
  <c r="J79" i="3"/>
  <c r="J87" i="3"/>
  <c r="J95" i="3"/>
  <c r="J103" i="3"/>
  <c r="I61" i="3"/>
  <c r="I69" i="3"/>
  <c r="I77" i="3"/>
  <c r="I85" i="3"/>
  <c r="I93" i="3"/>
  <c r="I101" i="3"/>
  <c r="H59" i="3"/>
  <c r="H67" i="3"/>
  <c r="H75" i="3"/>
  <c r="H83" i="3"/>
  <c r="H91" i="3"/>
  <c r="H99" i="3"/>
  <c r="G57" i="3"/>
  <c r="G65" i="3"/>
  <c r="G73" i="3"/>
  <c r="G81" i="3"/>
  <c r="G89" i="3"/>
  <c r="G97" i="3"/>
  <c r="G105" i="3"/>
  <c r="F63" i="3"/>
  <c r="F71" i="3"/>
  <c r="F79" i="3"/>
  <c r="F87" i="3"/>
  <c r="F95" i="3"/>
  <c r="F103" i="3"/>
  <c r="E61" i="3"/>
  <c r="E69" i="3"/>
  <c r="E77" i="3"/>
  <c r="E85" i="3"/>
  <c r="E93" i="3"/>
  <c r="E101" i="3"/>
  <c r="J56" i="3"/>
  <c r="J72" i="3"/>
  <c r="J88" i="3"/>
  <c r="J104" i="3"/>
  <c r="I70" i="3"/>
  <c r="I86" i="3"/>
  <c r="H60" i="3"/>
  <c r="H76" i="3"/>
  <c r="H84" i="3"/>
  <c r="H100" i="3"/>
  <c r="G66" i="3"/>
  <c r="G74" i="3"/>
  <c r="G90" i="3"/>
  <c r="F56" i="3"/>
  <c r="F72" i="3"/>
  <c r="F88" i="3"/>
  <c r="F104" i="3"/>
  <c r="E78" i="3"/>
  <c r="E94" i="3"/>
  <c r="I64" i="3"/>
  <c r="I96" i="3"/>
  <c r="H94" i="3"/>
  <c r="G84" i="3"/>
  <c r="F74" i="3"/>
  <c r="F98" i="3"/>
  <c r="E88" i="3"/>
  <c r="J67" i="3"/>
  <c r="I73" i="3"/>
  <c r="H63" i="3"/>
  <c r="H103" i="3"/>
  <c r="J57" i="3"/>
  <c r="J65" i="3"/>
  <c r="J73" i="3"/>
  <c r="J81" i="3"/>
  <c r="J89" i="3"/>
  <c r="J97" i="3"/>
  <c r="J105" i="3"/>
  <c r="I63" i="3"/>
  <c r="I71" i="3"/>
  <c r="I79" i="3"/>
  <c r="I87" i="3"/>
  <c r="I95" i="3"/>
  <c r="I103" i="3"/>
  <c r="H61" i="3"/>
  <c r="H69" i="3"/>
  <c r="H77" i="3"/>
  <c r="H85" i="3"/>
  <c r="H93" i="3"/>
  <c r="H101" i="3"/>
  <c r="G59" i="3"/>
  <c r="G67" i="3"/>
  <c r="G75" i="3"/>
  <c r="G83" i="3"/>
  <c r="G91" i="3"/>
  <c r="G99" i="3"/>
  <c r="F57" i="3"/>
  <c r="F65" i="3"/>
  <c r="F73" i="3"/>
  <c r="F81" i="3"/>
  <c r="F89" i="3"/>
  <c r="F97" i="3"/>
  <c r="F105" i="3"/>
  <c r="E63" i="3"/>
  <c r="E71" i="3"/>
  <c r="E79" i="3"/>
  <c r="E87" i="3"/>
  <c r="E95" i="3"/>
  <c r="E103" i="3"/>
  <c r="J58" i="3"/>
  <c r="J74" i="3"/>
  <c r="I56" i="3"/>
  <c r="I72" i="3"/>
  <c r="I88" i="3"/>
  <c r="H62" i="3"/>
  <c r="H86" i="3"/>
  <c r="G68" i="3"/>
  <c r="F58" i="3"/>
  <c r="F90" i="3"/>
  <c r="E72" i="3"/>
  <c r="E96" i="3"/>
  <c r="J83" i="3"/>
  <c r="I57" i="3"/>
  <c r="I81" i="3"/>
  <c r="H87" i="3"/>
  <c r="G77" i="3"/>
  <c r="F91" i="3"/>
  <c r="E105" i="3"/>
  <c r="E57" i="3"/>
  <c r="F59" i="3"/>
  <c r="F67" i="3"/>
  <c r="F75" i="3"/>
  <c r="F99" i="3"/>
  <c r="G93" i="3"/>
  <c r="G101" i="3"/>
  <c r="E65" i="3"/>
  <c r="E73" i="3"/>
  <c r="E81" i="3"/>
  <c r="E89" i="3"/>
  <c r="E97" i="3"/>
  <c r="F83" i="3"/>
  <c r="M60" i="3"/>
  <c r="D4" i="13"/>
  <c r="F7" i="13"/>
  <c r="G7" i="13"/>
  <c r="H7" i="13"/>
  <c r="I7" i="13"/>
  <c r="J7" i="13"/>
  <c r="C17" i="13"/>
  <c r="D7" i="13"/>
  <c r="Q48" i="7"/>
  <c r="P48" i="7"/>
  <c r="O48" i="7"/>
  <c r="N48" i="7"/>
  <c r="M48" i="7"/>
  <c r="L48" i="7"/>
  <c r="K48" i="7"/>
  <c r="J48" i="7"/>
  <c r="I48" i="7"/>
  <c r="H48" i="7"/>
  <c r="G48" i="7"/>
  <c r="F48" i="7"/>
  <c r="E48" i="7"/>
  <c r="D48" i="7"/>
  <c r="Q47" i="7"/>
  <c r="P47" i="7"/>
  <c r="O47" i="7"/>
  <c r="N47" i="7"/>
  <c r="M47" i="7"/>
  <c r="L47" i="7"/>
  <c r="K47" i="7"/>
  <c r="J47" i="7"/>
  <c r="I47" i="7"/>
  <c r="H47" i="7"/>
  <c r="G47" i="7"/>
  <c r="F47" i="7"/>
  <c r="E47" i="7"/>
  <c r="D47" i="7"/>
  <c r="Q46" i="7"/>
  <c r="P46" i="7"/>
  <c r="O46" i="7"/>
  <c r="N46" i="7"/>
  <c r="M46" i="7"/>
  <c r="L46" i="7"/>
  <c r="K46" i="7"/>
  <c r="J46" i="7"/>
  <c r="I46" i="7"/>
  <c r="H46" i="7"/>
  <c r="G46" i="7"/>
  <c r="F46" i="7"/>
  <c r="E46" i="7"/>
  <c r="D46" i="7"/>
  <c r="R45" i="7"/>
  <c r="R44" i="7"/>
  <c r="R43" i="7"/>
  <c r="R42" i="7"/>
  <c r="R41" i="7"/>
  <c r="R40" i="7"/>
  <c r="R39" i="7"/>
  <c r="R38" i="7"/>
  <c r="R37" i="7"/>
  <c r="R36" i="7"/>
  <c r="R35" i="7"/>
  <c r="R34" i="7"/>
  <c r="R47" i="7"/>
  <c r="R33" i="7"/>
  <c r="R32" i="7"/>
  <c r="R31" i="7"/>
  <c r="D29" i="7"/>
  <c r="E29" i="7"/>
  <c r="E3" i="3"/>
  <c r="B3" i="3"/>
  <c r="R48" i="7"/>
  <c r="R46" i="7"/>
  <c r="D27" i="3"/>
  <c r="K27" i="3"/>
  <c r="F29" i="7"/>
  <c r="E28" i="7"/>
  <c r="Q34" i="12"/>
  <c r="P34" i="12"/>
  <c r="O34" i="12"/>
  <c r="N34" i="12"/>
  <c r="M34" i="12"/>
  <c r="L34" i="12"/>
  <c r="K34" i="12"/>
  <c r="J34" i="12"/>
  <c r="I34" i="12"/>
  <c r="H34" i="12"/>
  <c r="G34" i="12"/>
  <c r="F34" i="12"/>
  <c r="E34" i="12"/>
  <c r="D34" i="12"/>
  <c r="Q33" i="12"/>
  <c r="P33" i="12"/>
  <c r="O33" i="12"/>
  <c r="N33" i="12"/>
  <c r="M33" i="12"/>
  <c r="L33" i="12"/>
  <c r="K33" i="12"/>
  <c r="J33" i="12"/>
  <c r="I33" i="12"/>
  <c r="H33" i="12"/>
  <c r="G33" i="12"/>
  <c r="F33" i="12"/>
  <c r="E33" i="12"/>
  <c r="D33" i="12"/>
  <c r="R32" i="12"/>
  <c r="R22" i="12"/>
  <c r="R21" i="12"/>
  <c r="R20" i="12"/>
  <c r="R19" i="12"/>
  <c r="R17" i="12"/>
  <c r="R16" i="12"/>
  <c r="R15" i="12"/>
  <c r="R14" i="12"/>
  <c r="R13" i="12"/>
  <c r="R12" i="12"/>
  <c r="R11" i="12"/>
  <c r="R10" i="12"/>
  <c r="R9" i="12"/>
  <c r="R8" i="12"/>
  <c r="D6" i="12"/>
  <c r="E6" i="12"/>
  <c r="E5" i="12"/>
  <c r="B26" i="7"/>
  <c r="M35" i="12"/>
  <c r="O35" i="12"/>
  <c r="G35" i="12"/>
  <c r="I35" i="12"/>
  <c r="Q35" i="12"/>
  <c r="J35" i="12"/>
  <c r="K35" i="12"/>
  <c r="D35" i="12"/>
  <c r="F35" i="12"/>
  <c r="N35" i="12"/>
  <c r="H35" i="12"/>
  <c r="P35" i="12"/>
  <c r="R33" i="12"/>
  <c r="B3" i="12"/>
  <c r="F28" i="7"/>
  <c r="G29" i="7"/>
  <c r="E35" i="12"/>
  <c r="L35" i="12"/>
  <c r="R34" i="12"/>
  <c r="J19" i="3"/>
  <c r="F6" i="12"/>
  <c r="F5" i="12"/>
  <c r="Q18" i="9"/>
  <c r="P18" i="9"/>
  <c r="O18" i="9"/>
  <c r="N18" i="9"/>
  <c r="M18" i="9"/>
  <c r="L18" i="9"/>
  <c r="K18" i="9"/>
  <c r="J18" i="9"/>
  <c r="I16" i="13"/>
  <c r="J39" i="3"/>
  <c r="I18" i="9"/>
  <c r="H18" i="9"/>
  <c r="G18" i="9"/>
  <c r="F18" i="9"/>
  <c r="E16" i="13"/>
  <c r="F39" i="3"/>
  <c r="E18" i="9"/>
  <c r="R17" i="9"/>
  <c r="T17" i="9"/>
  <c r="R16" i="9"/>
  <c r="T16" i="9"/>
  <c r="R15" i="9"/>
  <c r="T15" i="9"/>
  <c r="R14" i="9"/>
  <c r="T14" i="9"/>
  <c r="R13" i="9"/>
  <c r="T13" i="9"/>
  <c r="R12" i="9"/>
  <c r="T12" i="9"/>
  <c r="R11" i="9"/>
  <c r="T11" i="9"/>
  <c r="R10" i="9"/>
  <c r="T10" i="9"/>
  <c r="R9" i="9"/>
  <c r="T9" i="9"/>
  <c r="A9" i="9"/>
  <c r="A10" i="9"/>
  <c r="A11" i="9"/>
  <c r="A12" i="9"/>
  <c r="A13" i="9"/>
  <c r="A14" i="9"/>
  <c r="A15" i="9"/>
  <c r="A16" i="9"/>
  <c r="A17" i="9"/>
  <c r="E5" i="9"/>
  <c r="F5" i="9"/>
  <c r="G5" i="9"/>
  <c r="H5" i="9"/>
  <c r="I5" i="9"/>
  <c r="J5" i="9"/>
  <c r="K5" i="9"/>
  <c r="L5" i="9"/>
  <c r="M5" i="9"/>
  <c r="N5" i="9"/>
  <c r="O5" i="9"/>
  <c r="P5" i="9"/>
  <c r="Q5" i="9"/>
  <c r="Q6" i="9"/>
  <c r="Q25" i="7"/>
  <c r="P25" i="7"/>
  <c r="O25" i="7"/>
  <c r="N25" i="7"/>
  <c r="M25" i="7"/>
  <c r="L25" i="7"/>
  <c r="K25" i="7"/>
  <c r="J25" i="7"/>
  <c r="I25" i="7"/>
  <c r="H25" i="7"/>
  <c r="G25" i="7"/>
  <c r="F25" i="7"/>
  <c r="E25" i="7"/>
  <c r="D25" i="7"/>
  <c r="Q24" i="7"/>
  <c r="P24" i="7"/>
  <c r="O24" i="7"/>
  <c r="N24" i="7"/>
  <c r="M24" i="7"/>
  <c r="L24" i="7"/>
  <c r="K24" i="7"/>
  <c r="J24" i="7"/>
  <c r="I24" i="7"/>
  <c r="H24" i="7"/>
  <c r="G24" i="7"/>
  <c r="F24" i="7"/>
  <c r="E24" i="7"/>
  <c r="D24" i="7"/>
  <c r="R8" i="7"/>
  <c r="R9" i="7"/>
  <c r="R24" i="7"/>
  <c r="D21" i="3"/>
  <c r="R10" i="7"/>
  <c r="R11" i="7"/>
  <c r="R12" i="7"/>
  <c r="R13" i="7"/>
  <c r="R14" i="7"/>
  <c r="R15" i="7"/>
  <c r="R16" i="7"/>
  <c r="R17" i="7"/>
  <c r="R18" i="7"/>
  <c r="R19" i="7"/>
  <c r="R20" i="7"/>
  <c r="R21" i="7"/>
  <c r="R22" i="7"/>
  <c r="D6" i="7"/>
  <c r="E6" i="7"/>
  <c r="F6" i="7"/>
  <c r="G6" i="7"/>
  <c r="H6" i="7"/>
  <c r="I6" i="7"/>
  <c r="J6" i="7"/>
  <c r="K6" i="7"/>
  <c r="L6" i="7"/>
  <c r="M6" i="7"/>
  <c r="N6" i="7"/>
  <c r="O6" i="7"/>
  <c r="P6" i="7"/>
  <c r="Q6" i="7"/>
  <c r="Q5" i="7"/>
  <c r="Q23" i="7"/>
  <c r="P23" i="7"/>
  <c r="N23" i="7"/>
  <c r="M23" i="7"/>
  <c r="L23" i="7"/>
  <c r="K23" i="7"/>
  <c r="J23" i="7"/>
  <c r="O23" i="7"/>
  <c r="L7" i="5"/>
  <c r="I23" i="7"/>
  <c r="H23" i="7"/>
  <c r="G23" i="7"/>
  <c r="F23" i="7"/>
  <c r="E23" i="7"/>
  <c r="D23" i="7"/>
  <c r="H16" i="13"/>
  <c r="I39" i="3"/>
  <c r="G16" i="13"/>
  <c r="H39" i="3"/>
  <c r="J16" i="13"/>
  <c r="K39" i="3"/>
  <c r="K46" i="3"/>
  <c r="F16" i="13"/>
  <c r="G39" i="3"/>
  <c r="D16" i="13"/>
  <c r="E39" i="3"/>
  <c r="I31" i="13"/>
  <c r="T18" i="9"/>
  <c r="R25" i="7"/>
  <c r="D22" i="3"/>
  <c r="K22" i="3"/>
  <c r="R35" i="12"/>
  <c r="K20" i="3"/>
  <c r="G28" i="7"/>
  <c r="H29" i="7"/>
  <c r="G6" i="12"/>
  <c r="G5" i="12"/>
  <c r="R18" i="9"/>
  <c r="I6" i="9"/>
  <c r="J6" i="9"/>
  <c r="K6" i="9"/>
  <c r="L6" i="9"/>
  <c r="E6" i="9"/>
  <c r="M6" i="9"/>
  <c r="F6" i="9"/>
  <c r="N6" i="9"/>
  <c r="G6" i="9"/>
  <c r="O6" i="9"/>
  <c r="H6" i="9"/>
  <c r="P6" i="9"/>
  <c r="R23" i="7"/>
  <c r="B3" i="7"/>
  <c r="J5" i="7"/>
  <c r="K5" i="7"/>
  <c r="L5" i="7"/>
  <c r="H5" i="7"/>
  <c r="E5" i="7"/>
  <c r="M5" i="7"/>
  <c r="F5" i="7"/>
  <c r="N5" i="7"/>
  <c r="G5" i="7"/>
  <c r="O5" i="7"/>
  <c r="P5" i="7"/>
  <c r="I5" i="7"/>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Y59" i="5"/>
  <c r="X59" i="5"/>
  <c r="W59" i="5"/>
  <c r="V59" i="5"/>
  <c r="U59" i="5"/>
  <c r="T59" i="5"/>
  <c r="S59" i="5"/>
  <c r="Q59" i="5"/>
  <c r="P59" i="5"/>
  <c r="O59" i="5"/>
  <c r="N59" i="5"/>
  <c r="M59" i="5"/>
  <c r="O105" i="3"/>
  <c r="N105" i="3"/>
  <c r="M105" i="3"/>
  <c r="L105" i="3"/>
  <c r="O104" i="3"/>
  <c r="N104" i="3"/>
  <c r="M104" i="3"/>
  <c r="L104" i="3"/>
  <c r="O103" i="3"/>
  <c r="N103" i="3"/>
  <c r="M103" i="3"/>
  <c r="L103" i="3"/>
  <c r="O102" i="3"/>
  <c r="N102" i="3"/>
  <c r="M102" i="3"/>
  <c r="L102" i="3"/>
  <c r="O101" i="3"/>
  <c r="N101" i="3"/>
  <c r="M101" i="3"/>
  <c r="L101" i="3"/>
  <c r="O100" i="3"/>
  <c r="N100" i="3"/>
  <c r="M100" i="3"/>
  <c r="L100" i="3"/>
  <c r="O99" i="3"/>
  <c r="N99" i="3"/>
  <c r="M99" i="3"/>
  <c r="L99" i="3"/>
  <c r="O98" i="3"/>
  <c r="N98" i="3"/>
  <c r="M98" i="3"/>
  <c r="L98" i="3"/>
  <c r="O97" i="3"/>
  <c r="N97" i="3"/>
  <c r="M97" i="3"/>
  <c r="L97" i="3"/>
  <c r="O96" i="3"/>
  <c r="N96" i="3"/>
  <c r="M96" i="3"/>
  <c r="L96" i="3"/>
  <c r="O95" i="3"/>
  <c r="N95" i="3"/>
  <c r="M95" i="3"/>
  <c r="L95" i="3"/>
  <c r="O94" i="3"/>
  <c r="N94" i="3"/>
  <c r="M94" i="3"/>
  <c r="L94" i="3"/>
  <c r="O93" i="3"/>
  <c r="N93" i="3"/>
  <c r="M93" i="3"/>
  <c r="L93" i="3"/>
  <c r="O92" i="3"/>
  <c r="N92" i="3"/>
  <c r="M92" i="3"/>
  <c r="L92" i="3"/>
  <c r="O91" i="3"/>
  <c r="N91" i="3"/>
  <c r="M91" i="3"/>
  <c r="L91" i="3"/>
  <c r="O90" i="3"/>
  <c r="N90" i="3"/>
  <c r="M90" i="3"/>
  <c r="L90" i="3"/>
  <c r="O89" i="3"/>
  <c r="N89" i="3"/>
  <c r="M89" i="3"/>
  <c r="L89" i="3"/>
  <c r="O88" i="3"/>
  <c r="N88" i="3"/>
  <c r="M88" i="3"/>
  <c r="L88" i="3"/>
  <c r="O87" i="3"/>
  <c r="N87" i="3"/>
  <c r="M87" i="3"/>
  <c r="L87" i="3"/>
  <c r="O86" i="3"/>
  <c r="N86" i="3"/>
  <c r="M86" i="3"/>
  <c r="L86" i="3"/>
  <c r="O85" i="3"/>
  <c r="N85" i="3"/>
  <c r="M85" i="3"/>
  <c r="L85" i="3"/>
  <c r="O84" i="3"/>
  <c r="N84" i="3"/>
  <c r="M84" i="3"/>
  <c r="L84" i="3"/>
  <c r="O83" i="3"/>
  <c r="N83" i="3"/>
  <c r="M83" i="3"/>
  <c r="L83" i="3"/>
  <c r="O82" i="3"/>
  <c r="N82" i="3"/>
  <c r="M82" i="3"/>
  <c r="L82" i="3"/>
  <c r="O81" i="3"/>
  <c r="N81" i="3"/>
  <c r="M81" i="3"/>
  <c r="L81" i="3"/>
  <c r="O80" i="3"/>
  <c r="N80" i="3"/>
  <c r="M80" i="3"/>
  <c r="L80" i="3"/>
  <c r="O79" i="3"/>
  <c r="N79" i="3"/>
  <c r="M79" i="3"/>
  <c r="L79" i="3"/>
  <c r="O78" i="3"/>
  <c r="N78" i="3"/>
  <c r="M78" i="3"/>
  <c r="L78" i="3"/>
  <c r="O77" i="3"/>
  <c r="N77" i="3"/>
  <c r="M77" i="3"/>
  <c r="L77" i="3"/>
  <c r="O76" i="3"/>
  <c r="N76" i="3"/>
  <c r="M76" i="3"/>
  <c r="L76" i="3"/>
  <c r="O75" i="3"/>
  <c r="N75" i="3"/>
  <c r="M75" i="3"/>
  <c r="L75" i="3"/>
  <c r="O74" i="3"/>
  <c r="N74" i="3"/>
  <c r="M74" i="3"/>
  <c r="L74" i="3"/>
  <c r="O73" i="3"/>
  <c r="N73" i="3"/>
  <c r="M73" i="3"/>
  <c r="L73" i="3"/>
  <c r="O72" i="3"/>
  <c r="N72" i="3"/>
  <c r="M72" i="3"/>
  <c r="L72" i="3"/>
  <c r="O71" i="3"/>
  <c r="N71" i="3"/>
  <c r="M71" i="3"/>
  <c r="L71" i="3"/>
  <c r="O70" i="3"/>
  <c r="N70" i="3"/>
  <c r="M70" i="3"/>
  <c r="L70" i="3"/>
  <c r="O69" i="3"/>
  <c r="N69" i="3"/>
  <c r="M69" i="3"/>
  <c r="L69" i="3"/>
  <c r="O68" i="3"/>
  <c r="N68" i="3"/>
  <c r="M68" i="3"/>
  <c r="L68" i="3"/>
  <c r="O67" i="3"/>
  <c r="N67" i="3"/>
  <c r="M67" i="3"/>
  <c r="L67" i="3"/>
  <c r="O66" i="3"/>
  <c r="N66" i="3"/>
  <c r="M66" i="3"/>
  <c r="L66" i="3"/>
  <c r="O65" i="3"/>
  <c r="N65" i="3"/>
  <c r="M65" i="3"/>
  <c r="L65" i="3"/>
  <c r="O64" i="3"/>
  <c r="N64" i="3"/>
  <c r="M64" i="3"/>
  <c r="L64" i="3"/>
  <c r="O63" i="3"/>
  <c r="N63" i="3"/>
  <c r="M63" i="3"/>
  <c r="L63" i="3"/>
  <c r="O62" i="3"/>
  <c r="N62" i="3"/>
  <c r="M62" i="3"/>
  <c r="L62" i="3"/>
  <c r="O61" i="3"/>
  <c r="N61" i="3"/>
  <c r="M61" i="3"/>
  <c r="L61" i="3"/>
  <c r="O60" i="3"/>
  <c r="N60" i="3"/>
  <c r="L60" i="3"/>
  <c r="O59" i="3"/>
  <c r="N59" i="3"/>
  <c r="M59" i="3"/>
  <c r="L59" i="3"/>
  <c r="O58" i="3"/>
  <c r="N58" i="3"/>
  <c r="M58" i="3"/>
  <c r="L58" i="3"/>
  <c r="O57" i="3"/>
  <c r="N57" i="3"/>
  <c r="M57" i="3"/>
  <c r="L57" i="3"/>
  <c r="O56" i="3"/>
  <c r="N56" i="3"/>
  <c r="M56" i="3"/>
  <c r="L56" i="3"/>
  <c r="B5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J31" i="13"/>
  <c r="S18" i="9"/>
  <c r="G31" i="13"/>
  <c r="H28" i="7"/>
  <c r="I29" i="7"/>
  <c r="H6" i="12"/>
  <c r="H5" i="12"/>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L59" i="5"/>
  <c r="H59" i="5"/>
  <c r="H7" i="5"/>
  <c r="M7" i="5"/>
  <c r="M6" i="5"/>
  <c r="D31" i="13"/>
  <c r="H31" i="13"/>
  <c r="E33" i="3"/>
  <c r="E31" i="13"/>
  <c r="F33" i="3"/>
  <c r="E10" i="13"/>
  <c r="G33" i="3"/>
  <c r="F10" i="13"/>
  <c r="I33" i="3"/>
  <c r="H10" i="13"/>
  <c r="K33" i="3"/>
  <c r="J10" i="13"/>
  <c r="H33" i="3"/>
  <c r="G10" i="13"/>
  <c r="J33" i="3"/>
  <c r="I10" i="13"/>
  <c r="F31" i="13"/>
  <c r="J29" i="7"/>
  <c r="I28" i="7"/>
  <c r="I6" i="12"/>
  <c r="I5" i="12"/>
  <c r="I13" i="5"/>
  <c r="J13" i="5"/>
  <c r="I21" i="5"/>
  <c r="J21" i="5"/>
  <c r="I29" i="5"/>
  <c r="J29" i="5"/>
  <c r="I37" i="5"/>
  <c r="J37" i="5"/>
  <c r="I45" i="5"/>
  <c r="J45" i="5"/>
  <c r="I53" i="5"/>
  <c r="J53" i="5"/>
  <c r="P54" i="3"/>
  <c r="I16" i="5"/>
  <c r="J16" i="5"/>
  <c r="I24" i="5"/>
  <c r="J24" i="5"/>
  <c r="I32" i="5"/>
  <c r="J32" i="5"/>
  <c r="I40" i="5"/>
  <c r="J40" i="5"/>
  <c r="I48" i="5"/>
  <c r="J48" i="5"/>
  <c r="I56" i="5"/>
  <c r="J56" i="5"/>
  <c r="I9" i="5"/>
  <c r="J9" i="5"/>
  <c r="I17" i="5"/>
  <c r="J17" i="5"/>
  <c r="I25" i="5"/>
  <c r="J25" i="5"/>
  <c r="I33" i="5"/>
  <c r="J33" i="5"/>
  <c r="I41" i="5"/>
  <c r="J41" i="5"/>
  <c r="I49" i="5"/>
  <c r="J49" i="5"/>
  <c r="I57" i="5"/>
  <c r="J57" i="5"/>
  <c r="I19" i="5"/>
  <c r="J19" i="5"/>
  <c r="I31" i="5"/>
  <c r="J31" i="5"/>
  <c r="I44" i="5"/>
  <c r="J44" i="5"/>
  <c r="I58" i="5"/>
  <c r="J58" i="5"/>
  <c r="I42" i="5"/>
  <c r="J42" i="5"/>
  <c r="I43" i="5"/>
  <c r="J43" i="5"/>
  <c r="I20" i="5"/>
  <c r="J20" i="5"/>
  <c r="I34" i="5"/>
  <c r="J34" i="5"/>
  <c r="I46" i="5"/>
  <c r="J46" i="5"/>
  <c r="I39" i="5"/>
  <c r="J39" i="5"/>
  <c r="I54" i="5"/>
  <c r="J54" i="5"/>
  <c r="I10" i="5"/>
  <c r="J10" i="5"/>
  <c r="I22" i="5"/>
  <c r="J22" i="5"/>
  <c r="I35" i="5"/>
  <c r="J35" i="5"/>
  <c r="I47" i="5"/>
  <c r="J47" i="5"/>
  <c r="I28" i="5"/>
  <c r="J28" i="5"/>
  <c r="I18" i="5"/>
  <c r="I11" i="5"/>
  <c r="J11" i="5"/>
  <c r="I23" i="5"/>
  <c r="J23" i="5"/>
  <c r="I36" i="5"/>
  <c r="J36" i="5"/>
  <c r="I50" i="5"/>
  <c r="J50" i="5"/>
  <c r="I55" i="5"/>
  <c r="J55" i="5"/>
  <c r="I12" i="5"/>
  <c r="J12" i="5"/>
  <c r="I26" i="5"/>
  <c r="J26" i="5"/>
  <c r="I38" i="5"/>
  <c r="J38" i="5"/>
  <c r="I51" i="5"/>
  <c r="J51" i="5"/>
  <c r="I14" i="5"/>
  <c r="J14" i="5"/>
  <c r="I27" i="5"/>
  <c r="J27" i="5"/>
  <c r="I52" i="5"/>
  <c r="J52" i="5"/>
  <c r="I15" i="5"/>
  <c r="J15" i="5"/>
  <c r="I30" i="5"/>
  <c r="J30" i="5"/>
  <c r="N7" i="5"/>
  <c r="C31" i="13"/>
  <c r="C16" i="13"/>
  <c r="D10" i="13"/>
  <c r="C10" i="13"/>
  <c r="D39" i="3"/>
  <c r="A1" i="13"/>
  <c r="A1" i="9"/>
  <c r="A1" i="12"/>
  <c r="A1" i="7"/>
  <c r="A1" i="5"/>
  <c r="K4" i="3"/>
  <c r="D33" i="3"/>
  <c r="K29" i="7"/>
  <c r="J28" i="7"/>
  <c r="J6" i="12"/>
  <c r="J5" i="12"/>
  <c r="J18" i="5"/>
  <c r="O7" i="5"/>
  <c r="N6" i="5"/>
  <c r="B16" i="13"/>
  <c r="C39" i="3"/>
  <c r="L29" i="7"/>
  <c r="K28" i="7"/>
  <c r="K6" i="12"/>
  <c r="K5" i="12"/>
  <c r="J59" i="5"/>
  <c r="P7" i="5"/>
  <c r="O6" i="5"/>
  <c r="M29" i="7"/>
  <c r="L28" i="7"/>
  <c r="L6" i="12"/>
  <c r="L5" i="12"/>
  <c r="Q7" i="5"/>
  <c r="P6" i="5"/>
  <c r="N29" i="7"/>
  <c r="M28" i="7"/>
  <c r="M6" i="12"/>
  <c r="M5" i="12"/>
  <c r="R7" i="5"/>
  <c r="Q6" i="5"/>
  <c r="N28" i="7"/>
  <c r="O29" i="7"/>
  <c r="N6" i="12"/>
  <c r="N5" i="12"/>
  <c r="S7" i="5"/>
  <c r="R6" i="5"/>
  <c r="P29" i="7"/>
  <c r="O28" i="7"/>
  <c r="O6" i="12"/>
  <c r="O5" i="12"/>
  <c r="T7" i="5"/>
  <c r="S6" i="5"/>
  <c r="Q29" i="7"/>
  <c r="Q28" i="7"/>
  <c r="P28" i="7"/>
  <c r="P6" i="12"/>
  <c r="P5" i="12"/>
  <c r="U7" i="5"/>
  <c r="T6" i="5"/>
  <c r="Q6" i="12"/>
  <c r="Q5" i="12"/>
  <c r="V7" i="5"/>
  <c r="U6" i="5"/>
  <c r="W7" i="5"/>
  <c r="V6" i="5"/>
  <c r="X7" i="5"/>
  <c r="W6" i="5"/>
  <c r="Y7" i="5"/>
  <c r="Y6" i="5"/>
  <c r="X6" i="5"/>
  <c r="P106" i="3"/>
  <c r="J106" i="3"/>
  <c r="I9" i="13"/>
  <c r="I106" i="3"/>
  <c r="H9" i="13"/>
  <c r="H106" i="3"/>
  <c r="G9" i="13"/>
  <c r="G106" i="3"/>
  <c r="F9" i="13"/>
  <c r="F106" i="3"/>
  <c r="E9" i="13"/>
  <c r="E106" i="3"/>
  <c r="D9" i="13"/>
  <c r="J32" i="3"/>
  <c r="J34" i="3"/>
  <c r="H11" i="13"/>
  <c r="H35" i="13"/>
  <c r="I32" i="3"/>
  <c r="I34" i="3"/>
  <c r="G11" i="13"/>
  <c r="G35" i="13"/>
  <c r="H32" i="3"/>
  <c r="H34" i="3"/>
  <c r="F11" i="13"/>
  <c r="F35" i="13"/>
  <c r="G32" i="3"/>
  <c r="G34" i="3"/>
  <c r="E11" i="13"/>
  <c r="E35" i="13"/>
  <c r="F32" i="3"/>
  <c r="F34" i="3"/>
  <c r="E32" i="3"/>
  <c r="E34" i="3"/>
  <c r="F54" i="3"/>
  <c r="K21" i="3"/>
  <c r="F30" i="3"/>
  <c r="E30" i="3"/>
  <c r="G30" i="3"/>
  <c r="H30" i="3"/>
  <c r="E54" i="3"/>
  <c r="I46" i="3"/>
  <c r="H46" i="3"/>
  <c r="G46" i="3"/>
  <c r="F46" i="3"/>
  <c r="I30" i="3"/>
  <c r="E46" i="3"/>
  <c r="J46" i="3"/>
  <c r="G54" i="3"/>
  <c r="H54" i="3"/>
  <c r="I54" i="3"/>
  <c r="J54" i="3"/>
  <c r="K54" i="3"/>
  <c r="D46" i="3"/>
  <c r="J30" i="3"/>
  <c r="K72" i="3"/>
  <c r="D72" i="3"/>
  <c r="K80" i="3"/>
  <c r="D80" i="3"/>
  <c r="K89" i="3"/>
  <c r="D89" i="3"/>
  <c r="K87" i="3"/>
  <c r="D87" i="3"/>
  <c r="K74" i="3"/>
  <c r="D74" i="3"/>
  <c r="K101" i="3"/>
  <c r="D101" i="3"/>
  <c r="Z57" i="5"/>
  <c r="K57" i="5"/>
  <c r="K104" i="3"/>
  <c r="D104" i="3"/>
  <c r="K64" i="3"/>
  <c r="D64" i="3"/>
  <c r="Z17" i="5"/>
  <c r="K17" i="5"/>
  <c r="Z42" i="5"/>
  <c r="K42" i="5"/>
  <c r="Z54" i="5"/>
  <c r="AA54" i="5"/>
  <c r="Z25" i="5"/>
  <c r="K25" i="5"/>
  <c r="K59" i="3"/>
  <c r="D59" i="3"/>
  <c r="K66" i="3"/>
  <c r="D66" i="3"/>
  <c r="K78" i="3"/>
  <c r="D78" i="3"/>
  <c r="Z15" i="5"/>
  <c r="AA15" i="5"/>
  <c r="K62" i="3"/>
  <c r="D62" i="3"/>
  <c r="K82" i="3"/>
  <c r="D82" i="3"/>
  <c r="Z12" i="5"/>
  <c r="K12" i="5"/>
  <c r="Z19" i="5"/>
  <c r="K19" i="5"/>
  <c r="Z46" i="5"/>
  <c r="K46" i="5"/>
  <c r="K93" i="3"/>
  <c r="D93" i="3"/>
  <c r="K96" i="3"/>
  <c r="D96" i="3"/>
  <c r="K85" i="3"/>
  <c r="D85" i="3"/>
  <c r="Z48" i="5"/>
  <c r="K48" i="5"/>
  <c r="K95" i="3"/>
  <c r="D95" i="3"/>
  <c r="K91" i="3"/>
  <c r="D91" i="3"/>
  <c r="Z49" i="5"/>
  <c r="K49" i="5"/>
  <c r="Z41" i="5"/>
  <c r="K41" i="5"/>
  <c r="K88" i="3"/>
  <c r="D88" i="3"/>
  <c r="Z58" i="5"/>
  <c r="AA58" i="5"/>
  <c r="K105" i="3"/>
  <c r="D105" i="3"/>
  <c r="K77" i="3"/>
  <c r="D77" i="3"/>
  <c r="Z21" i="5"/>
  <c r="K21" i="5"/>
  <c r="K68" i="3"/>
  <c r="D68" i="3"/>
  <c r="Z24" i="5"/>
  <c r="K24" i="5"/>
  <c r="K71" i="3"/>
  <c r="D71" i="3"/>
  <c r="K70" i="3"/>
  <c r="D70" i="3"/>
  <c r="K81" i="3"/>
  <c r="D81" i="3"/>
  <c r="Z44" i="5"/>
  <c r="K44" i="5"/>
  <c r="Z31" i="5"/>
  <c r="AA31" i="5"/>
  <c r="K84" i="3"/>
  <c r="D84" i="3"/>
  <c r="Z37" i="5"/>
  <c r="AA37" i="5"/>
  <c r="Z45" i="5"/>
  <c r="K45" i="5"/>
  <c r="K92" i="3"/>
  <c r="D92" i="3"/>
  <c r="Z32" i="5"/>
  <c r="K32" i="5"/>
  <c r="K79" i="3"/>
  <c r="D79" i="3"/>
  <c r="Z13" i="5"/>
  <c r="K13" i="5"/>
  <c r="K60" i="3"/>
  <c r="D60" i="3"/>
  <c r="Z52" i="5"/>
  <c r="K52" i="5"/>
  <c r="K99" i="3"/>
  <c r="D99" i="3"/>
  <c r="K57" i="3"/>
  <c r="D57" i="3"/>
  <c r="Z28" i="5"/>
  <c r="K28" i="5"/>
  <c r="K75" i="3"/>
  <c r="D75" i="3"/>
  <c r="Z20" i="5"/>
  <c r="K20" i="5"/>
  <c r="K67" i="3"/>
  <c r="D67" i="3"/>
  <c r="Z27" i="5"/>
  <c r="K27" i="5"/>
  <c r="Z34" i="5"/>
  <c r="K34" i="5"/>
  <c r="K97" i="3"/>
  <c r="D97" i="3"/>
  <c r="Z50" i="5"/>
  <c r="K50" i="5"/>
  <c r="Z40" i="5"/>
  <c r="AA40" i="5"/>
  <c r="Z30" i="5"/>
  <c r="AA30" i="5"/>
  <c r="Z39" i="5"/>
  <c r="K39" i="5"/>
  <c r="K86" i="3"/>
  <c r="D86" i="3"/>
  <c r="Z22" i="5"/>
  <c r="K22" i="5"/>
  <c r="K69" i="3"/>
  <c r="D69" i="3"/>
  <c r="Z36" i="5"/>
  <c r="K36" i="5"/>
  <c r="K83" i="3"/>
  <c r="D83" i="3"/>
  <c r="Z38" i="5"/>
  <c r="K38" i="5"/>
  <c r="Z23" i="5"/>
  <c r="AA23" i="5"/>
  <c r="Z43" i="5"/>
  <c r="AA43" i="5"/>
  <c r="K90" i="3"/>
  <c r="D90" i="3"/>
  <c r="Z55" i="5"/>
  <c r="K55" i="5"/>
  <c r="K102" i="3"/>
  <c r="D102" i="3"/>
  <c r="Z11" i="5"/>
  <c r="K11" i="5"/>
  <c r="K58" i="3"/>
  <c r="D58" i="3"/>
  <c r="Z51" i="5"/>
  <c r="K51" i="5"/>
  <c r="K98" i="3"/>
  <c r="D98" i="3"/>
  <c r="Z29" i="5"/>
  <c r="K29" i="5"/>
  <c r="K76" i="3"/>
  <c r="D76" i="3"/>
  <c r="Z26" i="5"/>
  <c r="K26" i="5"/>
  <c r="K73" i="3"/>
  <c r="D73" i="3"/>
  <c r="K100" i="3"/>
  <c r="D100" i="3"/>
  <c r="Z10" i="5"/>
  <c r="AA10" i="5"/>
  <c r="Z14" i="5"/>
  <c r="K14" i="5"/>
  <c r="K61" i="3"/>
  <c r="D61" i="3"/>
  <c r="Z35" i="5"/>
  <c r="AA35" i="5"/>
  <c r="Z18" i="5"/>
  <c r="AA18" i="5"/>
  <c r="K65" i="3"/>
  <c r="D65" i="3"/>
  <c r="Z53" i="5"/>
  <c r="K53" i="5"/>
  <c r="Z33" i="5"/>
  <c r="K33" i="5"/>
  <c r="Z47" i="5"/>
  <c r="AA47" i="5"/>
  <c r="K94" i="3"/>
  <c r="D94" i="3"/>
  <c r="Z16" i="5"/>
  <c r="K16" i="5"/>
  <c r="K63" i="3"/>
  <c r="D63" i="3"/>
  <c r="Z56" i="5"/>
  <c r="AA56" i="5"/>
  <c r="K103" i="3"/>
  <c r="D103" i="3"/>
  <c r="K30" i="3"/>
  <c r="AA22" i="5"/>
  <c r="Q69" i="3"/>
  <c r="AA53" i="5"/>
  <c r="Q100" i="3"/>
  <c r="AA36" i="5"/>
  <c r="Q83" i="3"/>
  <c r="AA41" i="5"/>
  <c r="Q88" i="3"/>
  <c r="AA12" i="5"/>
  <c r="Q59" i="3"/>
  <c r="AA29" i="5"/>
  <c r="AA55" i="5"/>
  <c r="AA46" i="5"/>
  <c r="Q93" i="3"/>
  <c r="AA38" i="5"/>
  <c r="Q85" i="3"/>
  <c r="AA24" i="5"/>
  <c r="AA42" i="5"/>
  <c r="Q89" i="3"/>
  <c r="K31" i="5"/>
  <c r="AA28" i="5"/>
  <c r="AB28" i="5"/>
  <c r="AC28" i="5"/>
  <c r="S75" i="3"/>
  <c r="AA32" i="5"/>
  <c r="Q79" i="3"/>
  <c r="AA33" i="5"/>
  <c r="AB33" i="5"/>
  <c r="AC33" i="5"/>
  <c r="S80" i="3"/>
  <c r="AA19" i="5"/>
  <c r="Q66" i="3"/>
  <c r="AA50" i="5"/>
  <c r="AB50" i="5"/>
  <c r="R97" i="3"/>
  <c r="AA26" i="5"/>
  <c r="AA21" i="5"/>
  <c r="AA17" i="5"/>
  <c r="AA14" i="5"/>
  <c r="AA39" i="5"/>
  <c r="Q86" i="3"/>
  <c r="AA52" i="5"/>
  <c r="Q99" i="3"/>
  <c r="K58" i="5"/>
  <c r="AA48" i="5"/>
  <c r="AB48" i="5"/>
  <c r="R95" i="3"/>
  <c r="AA57" i="5"/>
  <c r="AA11" i="5"/>
  <c r="AB40" i="5"/>
  <c r="Q87" i="3"/>
  <c r="AB43" i="5"/>
  <c r="Q90" i="3"/>
  <c r="Q84" i="3"/>
  <c r="AB37" i="5"/>
  <c r="AB10" i="5"/>
  <c r="Q57" i="3"/>
  <c r="Q78" i="3"/>
  <c r="AB31" i="5"/>
  <c r="Q105" i="3"/>
  <c r="AB58" i="5"/>
  <c r="Q62" i="3"/>
  <c r="AB15" i="5"/>
  <c r="AB54" i="5"/>
  <c r="Q101" i="3"/>
  <c r="Q65" i="3"/>
  <c r="AB18" i="5"/>
  <c r="Q82" i="3"/>
  <c r="AB35" i="5"/>
  <c r="AB56" i="5"/>
  <c r="Q103" i="3"/>
  <c r="AB23" i="5"/>
  <c r="Q70" i="3"/>
  <c r="AB47" i="5"/>
  <c r="Q94" i="3"/>
  <c r="AB30" i="5"/>
  <c r="Q77" i="3"/>
  <c r="AA51" i="5"/>
  <c r="AB22" i="5"/>
  <c r="AA45" i="5"/>
  <c r="K40" i="5"/>
  <c r="K43" i="5"/>
  <c r="K35" i="5"/>
  <c r="K10" i="5"/>
  <c r="K37" i="5"/>
  <c r="K30" i="5"/>
  <c r="K54" i="5"/>
  <c r="K56" i="5"/>
  <c r="AA16" i="5"/>
  <c r="AA20" i="5"/>
  <c r="AA44" i="5"/>
  <c r="K23" i="5"/>
  <c r="K18" i="5"/>
  <c r="K15" i="5"/>
  <c r="AA34" i="5"/>
  <c r="AA13" i="5"/>
  <c r="K47" i="5"/>
  <c r="AA27" i="5"/>
  <c r="AA49" i="5"/>
  <c r="AA25" i="5"/>
  <c r="AB36" i="5"/>
  <c r="AC36" i="5"/>
  <c r="S83" i="3"/>
  <c r="AB38" i="5"/>
  <c r="AC38" i="5"/>
  <c r="S85" i="3"/>
  <c r="Q97" i="3"/>
  <c r="AB53" i="5"/>
  <c r="R100" i="3"/>
  <c r="Q95" i="3"/>
  <c r="AC48" i="5"/>
  <c r="S95" i="3"/>
  <c r="AB12" i="5"/>
  <c r="R59" i="3"/>
  <c r="AB41" i="5"/>
  <c r="R88" i="3"/>
  <c r="R80" i="3"/>
  <c r="Q80" i="3"/>
  <c r="AB46" i="5"/>
  <c r="AC46" i="5"/>
  <c r="S93" i="3"/>
  <c r="Q102" i="3"/>
  <c r="AB55" i="5"/>
  <c r="AC50" i="5"/>
  <c r="S97" i="3"/>
  <c r="AB19" i="5"/>
  <c r="R66" i="3"/>
  <c r="Q76" i="3"/>
  <c r="AB29" i="5"/>
  <c r="AB42" i="5"/>
  <c r="AC42" i="5"/>
  <c r="S89" i="3"/>
  <c r="Q75" i="3"/>
  <c r="AB32" i="5"/>
  <c r="R79" i="3"/>
  <c r="R75" i="3"/>
  <c r="Q71" i="3"/>
  <c r="AB24" i="5"/>
  <c r="AB39" i="5"/>
  <c r="R86" i="3"/>
  <c r="Q104" i="3"/>
  <c r="AB57" i="5"/>
  <c r="Q64" i="3"/>
  <c r="AB17" i="5"/>
  <c r="Q61" i="3"/>
  <c r="AB14" i="5"/>
  <c r="Q68" i="3"/>
  <c r="AB21" i="5"/>
  <c r="Q73" i="3"/>
  <c r="AB26" i="5"/>
  <c r="AB52" i="5"/>
  <c r="R99" i="3"/>
  <c r="Q58" i="3"/>
  <c r="AB11" i="5"/>
  <c r="R69" i="3"/>
  <c r="AC22" i="5"/>
  <c r="S69" i="3"/>
  <c r="R82" i="3"/>
  <c r="AC35" i="5"/>
  <c r="S82" i="3"/>
  <c r="R105" i="3"/>
  <c r="AC58" i="5"/>
  <c r="S105" i="3"/>
  <c r="R84" i="3"/>
  <c r="AC37" i="5"/>
  <c r="S84" i="3"/>
  <c r="AB25" i="5"/>
  <c r="Q72" i="3"/>
  <c r="Q63" i="3"/>
  <c r="AB16" i="5"/>
  <c r="AB49" i="5"/>
  <c r="Q96" i="3"/>
  <c r="R65" i="3"/>
  <c r="AC18" i="5"/>
  <c r="S65" i="3"/>
  <c r="AC56" i="5"/>
  <c r="S103" i="3"/>
  <c r="R103" i="3"/>
  <c r="AB51" i="5"/>
  <c r="Q98" i="3"/>
  <c r="AB27" i="5"/>
  <c r="Q74" i="3"/>
  <c r="R77" i="3"/>
  <c r="AC30" i="5"/>
  <c r="S77" i="3"/>
  <c r="R101" i="3"/>
  <c r="AC54" i="5"/>
  <c r="S101" i="3"/>
  <c r="AC10" i="5"/>
  <c r="S57" i="3"/>
  <c r="R57" i="3"/>
  <c r="AC43" i="5"/>
  <c r="S90" i="3"/>
  <c r="R90" i="3"/>
  <c r="AC23" i="5"/>
  <c r="S70" i="3"/>
  <c r="R70" i="3"/>
  <c r="R78" i="3"/>
  <c r="AC31" i="5"/>
  <c r="S78" i="3"/>
  <c r="AB13" i="5"/>
  <c r="Q60" i="3"/>
  <c r="AB45" i="5"/>
  <c r="Q92" i="3"/>
  <c r="Q67" i="3"/>
  <c r="AB20" i="5"/>
  <c r="AC15" i="5"/>
  <c r="S62" i="3"/>
  <c r="R62" i="3"/>
  <c r="Q91" i="3"/>
  <c r="AB44" i="5"/>
  <c r="Q81" i="3"/>
  <c r="AB34" i="5"/>
  <c r="R94" i="3"/>
  <c r="AC47" i="5"/>
  <c r="S94" i="3"/>
  <c r="AC40" i="5"/>
  <c r="S87" i="3"/>
  <c r="R87" i="3"/>
  <c r="R85" i="3"/>
  <c r="AC53" i="5"/>
  <c r="S100" i="3"/>
  <c r="AC32" i="5"/>
  <c r="S79" i="3"/>
  <c r="R83" i="3"/>
  <c r="AC12" i="5"/>
  <c r="S59" i="3"/>
  <c r="AC19" i="5"/>
  <c r="S66" i="3"/>
  <c r="AC41" i="5"/>
  <c r="S88" i="3"/>
  <c r="R93" i="3"/>
  <c r="AC29" i="5"/>
  <c r="S76" i="3"/>
  <c r="R76" i="3"/>
  <c r="R89" i="3"/>
  <c r="AC52" i="5"/>
  <c r="S99" i="3"/>
  <c r="AC55" i="5"/>
  <c r="S102" i="3"/>
  <c r="R102" i="3"/>
  <c r="R71" i="3"/>
  <c r="AC24" i="5"/>
  <c r="S71" i="3"/>
  <c r="AC39" i="5"/>
  <c r="S86" i="3"/>
  <c r="AC26" i="5"/>
  <c r="S73" i="3"/>
  <c r="R73" i="3"/>
  <c r="AC14" i="5"/>
  <c r="S61" i="3"/>
  <c r="R61" i="3"/>
  <c r="R68" i="3"/>
  <c r="AC21" i="5"/>
  <c r="S68" i="3"/>
  <c r="R64" i="3"/>
  <c r="AC17" i="5"/>
  <c r="S64" i="3"/>
  <c r="AC57" i="5"/>
  <c r="S104" i="3"/>
  <c r="R104" i="3"/>
  <c r="AC11" i="5"/>
  <c r="S58" i="3"/>
  <c r="R58" i="3"/>
  <c r="R81" i="3"/>
  <c r="AC34" i="5"/>
  <c r="S81" i="3"/>
  <c r="AC27" i="5"/>
  <c r="S74" i="3"/>
  <c r="R74" i="3"/>
  <c r="AC51" i="5"/>
  <c r="S98" i="3"/>
  <c r="R98" i="3"/>
  <c r="R60" i="3"/>
  <c r="AC13" i="5"/>
  <c r="S60" i="3"/>
  <c r="AC49" i="5"/>
  <c r="S96" i="3"/>
  <c r="R96" i="3"/>
  <c r="AC16" i="5"/>
  <c r="S63" i="3"/>
  <c r="R63" i="3"/>
  <c r="R91" i="3"/>
  <c r="AC44" i="5"/>
  <c r="S91" i="3"/>
  <c r="R67" i="3"/>
  <c r="AC20" i="5"/>
  <c r="S67" i="3"/>
  <c r="AC45" i="5"/>
  <c r="S92" i="3"/>
  <c r="R92" i="3"/>
  <c r="R72" i="3"/>
  <c r="AC25" i="5"/>
  <c r="S72" i="3"/>
  <c r="R59" i="5"/>
  <c r="I11" i="13"/>
  <c r="I35" i="13"/>
  <c r="Z9" i="5"/>
  <c r="K56" i="3"/>
  <c r="D56" i="3"/>
  <c r="D11" i="13"/>
  <c r="K106" i="3"/>
  <c r="K9" i="5"/>
  <c r="K59" i="5"/>
  <c r="Z59" i="5"/>
  <c r="B4" i="5"/>
  <c r="AA9" i="5"/>
  <c r="D17" i="3"/>
  <c r="D24" i="3"/>
  <c r="D106" i="3"/>
  <c r="B52" i="3"/>
  <c r="D35" i="13"/>
  <c r="K32" i="3"/>
  <c r="J9" i="13"/>
  <c r="J11" i="13"/>
  <c r="J35" i="13"/>
  <c r="AB9" i="5"/>
  <c r="R56" i="3"/>
  <c r="Q56" i="3"/>
  <c r="Q106" i="3"/>
  <c r="R106" i="3"/>
  <c r="AA59" i="5"/>
  <c r="AB59" i="5"/>
  <c r="C9" i="13"/>
  <c r="C11" i="13"/>
  <c r="K34" i="3"/>
  <c r="D32" i="3"/>
  <c r="AC9" i="5"/>
  <c r="D34" i="3"/>
  <c r="S56" i="3"/>
  <c r="S106" i="3"/>
  <c r="AC59" i="5"/>
  <c r="K9" i="3"/>
  <c r="B28" i="6"/>
  <c r="C12" i="13"/>
  <c r="D35" i="3"/>
  <c r="E41" i="3"/>
  <c r="E35" i="3"/>
  <c r="F35" i="3"/>
  <c r="C18" i="13"/>
  <c r="C19" i="13"/>
  <c r="D41" i="3"/>
  <c r="D50" i="3"/>
  <c r="D12" i="13"/>
  <c r="E12" i="13"/>
  <c r="E18" i="13"/>
  <c r="E19" i="13"/>
  <c r="F41" i="3"/>
  <c r="B24" i="6"/>
  <c r="I10" i="3"/>
  <c r="B27" i="6"/>
  <c r="K10" i="3"/>
  <c r="G35" i="3"/>
  <c r="G36" i="3"/>
  <c r="F12" i="13"/>
  <c r="G12" i="13"/>
  <c r="C39" i="13"/>
  <c r="L39" i="13"/>
  <c r="D36" i="3"/>
  <c r="K18" i="3"/>
  <c r="L19" i="3"/>
  <c r="K11" i="3"/>
  <c r="F36" i="3"/>
  <c r="F37" i="3"/>
  <c r="E36" i="3"/>
  <c r="E37" i="3"/>
  <c r="C36" i="3"/>
  <c r="C37" i="3"/>
  <c r="B13" i="13"/>
  <c r="H35" i="3"/>
  <c r="I35" i="3"/>
  <c r="J35" i="3"/>
  <c r="K35" i="3"/>
  <c r="D39" i="13"/>
  <c r="D38" i="13"/>
  <c r="F18" i="13"/>
  <c r="F19" i="13"/>
  <c r="G41" i="3"/>
  <c r="H12" i="13"/>
  <c r="I12" i="13"/>
  <c r="K17" i="3"/>
  <c r="L17" i="3"/>
  <c r="D37" i="3"/>
  <c r="B14" i="13"/>
  <c r="D13" i="13"/>
  <c r="C13" i="13"/>
  <c r="C14" i="13"/>
  <c r="E13" i="13"/>
  <c r="E14" i="13"/>
  <c r="G37" i="3"/>
  <c r="F13" i="13"/>
  <c r="F14" i="13"/>
  <c r="G13" i="13"/>
  <c r="G18" i="13"/>
  <c r="H18" i="13"/>
  <c r="H19" i="13"/>
  <c r="I41" i="3"/>
  <c r="H36" i="3"/>
  <c r="H37" i="3"/>
  <c r="D37" i="13"/>
  <c r="H13" i="13"/>
  <c r="G33" i="13"/>
  <c r="J12" i="13"/>
  <c r="L18" i="3"/>
  <c r="K23" i="3"/>
  <c r="K24" i="3"/>
  <c r="I36" i="3"/>
  <c r="F33" i="13"/>
  <c r="D32" i="13"/>
  <c r="E33" i="13"/>
  <c r="D14" i="13"/>
  <c r="E32" i="13"/>
  <c r="F32" i="13"/>
  <c r="D33" i="13"/>
  <c r="G14" i="13"/>
  <c r="G32" i="13"/>
  <c r="I13" i="13"/>
  <c r="H14" i="13"/>
  <c r="I18" i="13"/>
  <c r="I19" i="13"/>
  <c r="J41" i="3"/>
  <c r="G19" i="13"/>
  <c r="H41" i="3"/>
  <c r="H32" i="13"/>
  <c r="I37" i="3"/>
  <c r="J36" i="3"/>
  <c r="J37" i="3"/>
  <c r="I32" i="13"/>
  <c r="H33" i="13"/>
  <c r="J13" i="13"/>
  <c r="I14" i="13"/>
  <c r="J18" i="13"/>
  <c r="J19" i="13"/>
  <c r="K41" i="3"/>
  <c r="K36" i="3"/>
  <c r="I33" i="13"/>
  <c r="J33" i="13"/>
  <c r="J32" i="13"/>
  <c r="K32" i="13"/>
  <c r="J14" i="13"/>
  <c r="C35" i="13"/>
  <c r="K37" i="3"/>
  <c r="K33" i="13"/>
  <c r="B4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Bardehle, Frank</author>
  </authors>
  <commentList>
    <comment ref="C5" authorId="0" shapeId="0" xr:uid="{00000000-0006-0000-0300-000001000000}">
      <text>
        <r>
          <rPr>
            <sz val="9"/>
            <color indexed="81"/>
            <rFont val="Segoe UI"/>
            <family val="2"/>
          </rPr>
          <t>x=Anrechnung auf den Eigenanteil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Bardehle, Frank</author>
  </authors>
  <commentList>
    <comment ref="A26" authorId="0" shapeId="0" xr:uid="{00000000-0006-0000-0500-000001000000}">
      <text>
        <r>
          <rPr>
            <sz val="9"/>
            <color indexed="81"/>
            <rFont val="Segoe UI"/>
            <family val="2"/>
          </rPr>
          <t>Die Prozentuale Verteilung der Jahrestranchen kann manuell an die aktuellen durch das Bauministerium bekanntgegebenen Werte angepasst werden.</t>
        </r>
      </text>
    </comment>
  </commentList>
</comments>
</file>

<file path=xl/sharedStrings.xml><?xml version="1.0" encoding="utf-8"?>
<sst xmlns="http://schemas.openxmlformats.org/spreadsheetml/2006/main" count="505" uniqueCount="269">
  <si>
    <t>Kosten- und Finanzierungsübersicht (KuF) gem. Nr. 13.4 Städtebauförderrichtlinie NRW 2023</t>
  </si>
  <si>
    <t>Anleitung:</t>
  </si>
  <si>
    <t>Version 4.0</t>
  </si>
  <si>
    <t>Es wird empfohlen, die bereitgestellte Ausfüllhilfe zu lesen.</t>
  </si>
  <si>
    <t>Anlass der KuF:</t>
  </si>
  <si>
    <t>Erstantrag</t>
  </si>
  <si>
    <r>
      <t xml:space="preserve">&lt;- Wählen Sie </t>
    </r>
    <r>
      <rPr>
        <b/>
        <u/>
        <sz val="12"/>
        <color theme="1"/>
        <rFont val="Calibri"/>
        <family val="2"/>
        <scheme val="minor"/>
      </rPr>
      <t>immer zuerst</t>
    </r>
    <r>
      <rPr>
        <sz val="12"/>
        <color theme="1"/>
        <rFont val="Calibri"/>
        <family val="2"/>
        <scheme val="minor"/>
      </rPr>
      <t xml:space="preserve"> den Anlass für die KuF aus dem Drop-Down-Menu aus.</t>
    </r>
  </si>
  <si>
    <t>Datum des Erstantrages:</t>
  </si>
  <si>
    <t>Kostenindex lt. Programmaufruf:</t>
  </si>
  <si>
    <t>Datum des Fortsetzungsantrags 
zur Festsetzung der Förderobergrenze:</t>
  </si>
  <si>
    <t>Programmjahr:</t>
  </si>
  <si>
    <t>Die KuF ist zu folgendem Stichtag vorzulegen:</t>
  </si>
  <si>
    <t>Antragstellerin (Stadt/Gemeinde):</t>
  </si>
  <si>
    <t>Anschrift:</t>
  </si>
  <si>
    <t>Auskunft erteilt (Name, Tel., E-Mail):</t>
  </si>
  <si>
    <t>Bezeichnung der Geamtmaßnahme lt. Beschluss:</t>
  </si>
  <si>
    <t>Programmachse:</t>
  </si>
  <si>
    <t>Aktueller Fördersatz:</t>
  </si>
  <si>
    <t>Datum des 1. Bewilligungsbescheides:</t>
  </si>
  <si>
    <t>Vorläufige Förderobergrenze:
(maximale Höhe zuwendungsfähiger Ausgaben)</t>
  </si>
  <si>
    <t>entspricht einer maximalen Förderung von:</t>
  </si>
  <si>
    <t>Datum des Bescheides zur Festlegung der Förderobergrenze:</t>
  </si>
  <si>
    <t>festgestellte Förderobergrenze:
(maximale Höhe zuwendungsfähiger Ausgaben)</t>
  </si>
  <si>
    <t>Durch Fördersatzanhebung im laufe der Gesamtmaßnahme
ergibt sich folgender Mischfördersatz:</t>
  </si>
  <si>
    <t>Weiter zu den grundsätzlich zuwendungsfähigen Ausgaben</t>
  </si>
  <si>
    <t>&lt;- Wenn alle Eintragungen ergänzt bzw. berichtigt sind geht es weiter zu den grundsätzlich zuwendungsfähigen Ausgaben.</t>
  </si>
  <si>
    <t>Start</t>
  </si>
  <si>
    <t>Ausgaben</t>
  </si>
  <si>
    <t>weit. Ausgaben</t>
  </si>
  <si>
    <t>Einnahmen</t>
  </si>
  <si>
    <t>Bewilligungen</t>
  </si>
  <si>
    <t>Förderantrag</t>
  </si>
  <si>
    <t>KuF Zus.</t>
  </si>
  <si>
    <t>grundsätzlich zuwendungsfähige Ausgaben</t>
  </si>
  <si>
    <t>Umsetzung</t>
  </si>
  <si>
    <t>Verteilung der tatsächlichen und geplanten Ausgaben auf die Jahre der Fälligkeit</t>
  </si>
  <si>
    <t>Lfd.
Nr.</t>
  </si>
  <si>
    <t>Teilmaßnahme</t>
  </si>
  <si>
    <t>FRL
Nr.</t>
  </si>
  <si>
    <t>aktueller Stand der
Planung/Umsetzung</t>
  </si>
  <si>
    <t>Umsetzung/Bauzeit/
Vertrag von</t>
  </si>
  <si>
    <t>Umsetzung/Bauzeit/
Vertrag bis</t>
  </si>
  <si>
    <t>Schlusszahlung</t>
  </si>
  <si>
    <t>Ausgaben €
Ausgangs-
kalkulation
zum</t>
  </si>
  <si>
    <t>Jahre
Ausg.-
kalk.
bis
(Bau-)
beginn</t>
  </si>
  <si>
    <t>Kostenpro-
gnose in € unter Anwendung  des Index</t>
  </si>
  <si>
    <t>Max. noch zu verteilende Beträge</t>
  </si>
  <si>
    <t>Ist Ausgaben
€</t>
  </si>
  <si>
    <t>Gesamt
€</t>
  </si>
  <si>
    <t>Kosten-
entwick-
lung /
Veränderung
€</t>
  </si>
  <si>
    <t>absolute
Entwicklung
in</t>
  </si>
  <si>
    <t>durchschnitt-liche jährl. Entw. in</t>
  </si>
  <si>
    <t>€</t>
  </si>
  <si>
    <t>%</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</si>
  <si>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</si>
  <si>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</si>
  <si>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</si>
  <si>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</si>
  <si>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</si>
  <si>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</si>
  <si>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</si>
  <si>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</si>
  <si>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</si>
  <si>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</si>
  <si>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</si>
  <si>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</si>
  <si>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</si>
  <si>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</si>
  <si>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</si>
  <si>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</si>
  <si>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</si>
  <si>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</si>
  <si>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</si>
  <si>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</si>
  <si>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</si>
  <si>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</si>
  <si>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</si>
  <si>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</si>
  <si>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</si>
  <si>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</si>
  <si>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</si>
  <si>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</si>
  <si>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</si>
  <si>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Ergebnis</t>
  </si>
  <si>
    <t>Weitere maßnahmenbedingte Ausgaben (eigenfinanziert oder andere Förderprogramme)</t>
  </si>
  <si>
    <t>lfd.Nr.</t>
  </si>
  <si>
    <t>Maßnahmenbezeichnung</t>
  </si>
  <si>
    <t>A/F</t>
  </si>
  <si>
    <t>Summe weitere maßnahmenbedingte Ausgaben</t>
  </si>
  <si>
    <t>davon Maßnahmen, die durch die Antragstellerin zu finanzieren sind</t>
  </si>
  <si>
    <t>davon Maßnahmen, die Gegenstand anderer Förderprogramme sind</t>
  </si>
  <si>
    <t>Nachrichtlich - Kosten anderer öffentlicher Träger oder privater Eigentümer und Bauherren und deren Gegenfinanzierung</t>
  </si>
  <si>
    <t>ö/p</t>
  </si>
  <si>
    <t>davon Maßnahmen anderer öffentlicher Träger</t>
  </si>
  <si>
    <t>ö</t>
  </si>
  <si>
    <t>davon Maßnahmen privater Eigentümer und Bauherren</t>
  </si>
  <si>
    <t>p</t>
  </si>
  <si>
    <t>Zweckgebundene Einnahmen</t>
  </si>
  <si>
    <t>lfd.
Nr.</t>
  </si>
  <si>
    <t>Bezeichnung der Einnahme</t>
  </si>
  <si>
    <t>EA</t>
  </si>
  <si>
    <t>Ist Einnahmen
€</t>
  </si>
  <si>
    <t>Summe zweckgebundene Einnahmen</t>
  </si>
  <si>
    <t>Einnahmen, die auf den Eigenanteil angerechnet werden können</t>
  </si>
  <si>
    <t>x</t>
  </si>
  <si>
    <t>Zuschussmindernde Einnahmen</t>
  </si>
  <si>
    <t>Programm-
Jahr</t>
  </si>
  <si>
    <t>Bewilligung/
Förderpause</t>
  </si>
  <si>
    <t>Datum</t>
  </si>
  <si>
    <t>ZB-Nr.</t>
  </si>
  <si>
    <t>zuwendungsf.</t>
  </si>
  <si>
    <t>Gesamt</t>
  </si>
  <si>
    <t>Fördersatz</t>
  </si>
  <si>
    <t>1. Bewilligung vom</t>
  </si>
  <si>
    <t>zuwendungsf. Ausgaben</t>
  </si>
  <si>
    <t>Ermittlung der Antragssumme zum Städtebauförderprogramm</t>
  </si>
  <si>
    <t>Finanzierungsplan für die Gesamtmaßnahme</t>
  </si>
  <si>
    <t>Gesamt / €</t>
  </si>
  <si>
    <t>(Antragsvordruck Nr. 3)</t>
  </si>
  <si>
    <t>Ist/€</t>
  </si>
  <si>
    <t>Soll/€</t>
  </si>
  <si>
    <r>
      <t xml:space="preserve">Grundsätzlich zuwendungsfähige Gesamtausgaben </t>
    </r>
    <r>
      <rPr>
        <i/>
        <sz val="11"/>
        <color theme="1"/>
        <rFont val="Calibri"/>
        <family val="2"/>
        <scheme val="minor"/>
      </rPr>
      <t>(3.1)</t>
    </r>
  </si>
  <si>
    <r>
      <t xml:space="preserve">Abzüglich zweckgebundene Einnahmen </t>
    </r>
    <r>
      <rPr>
        <i/>
        <sz val="11"/>
        <color theme="1"/>
        <rFont val="Calibri"/>
        <family val="2"/>
        <scheme val="minor"/>
      </rPr>
      <t>(3.2)</t>
    </r>
  </si>
  <si>
    <r>
      <t xml:space="preserve">Zuwendungsfähige Gesamtausgaben </t>
    </r>
    <r>
      <rPr>
        <i/>
        <sz val="11"/>
        <color theme="1"/>
        <rFont val="Calibri"/>
        <family val="2"/>
        <scheme val="minor"/>
      </rPr>
      <t>(3.3)</t>
    </r>
  </si>
  <si>
    <r>
      <t xml:space="preserve">Max. zuwendungsf. Gesamtausgaben lt. Förderobergrenze </t>
    </r>
    <r>
      <rPr>
        <i/>
        <sz val="11"/>
        <rFont val="Calibri"/>
        <family val="2"/>
        <scheme val="minor"/>
      </rPr>
      <t>(3.4)</t>
    </r>
  </si>
  <si>
    <r>
      <t>Fördersatz</t>
    </r>
    <r>
      <rPr>
        <i/>
        <sz val="11"/>
        <color theme="1"/>
        <rFont val="Calibri"/>
        <family val="2"/>
        <scheme val="minor"/>
      </rPr>
      <t xml:space="preserve"> (3.5) </t>
    </r>
    <r>
      <rPr>
        <b/>
        <sz val="11"/>
        <color theme="1"/>
        <rFont val="Calibri"/>
        <family val="2"/>
        <scheme val="minor"/>
      </rPr>
      <t xml:space="preserve">/ Gesamtförderbedarf </t>
    </r>
    <r>
      <rPr>
        <i/>
        <sz val="11"/>
        <color theme="1"/>
        <rFont val="Calibri"/>
        <family val="2"/>
        <scheme val="minor"/>
      </rPr>
      <t>(3.6)</t>
    </r>
  </si>
  <si>
    <r>
      <t xml:space="preserve">Eigenanteil </t>
    </r>
    <r>
      <rPr>
        <i/>
        <sz val="11"/>
        <color theme="1"/>
        <rFont val="Calibri"/>
        <family val="2"/>
        <scheme val="minor"/>
      </rPr>
      <t>(3.7)</t>
    </r>
  </si>
  <si>
    <t>ausgezahlt</t>
  </si>
  <si>
    <t>Kassenmittel</t>
  </si>
  <si>
    <t>VE</t>
  </si>
  <si>
    <r>
      <t xml:space="preserve">Summe bislang erfolgter Bewilligungen </t>
    </r>
    <r>
      <rPr>
        <i/>
        <sz val="11"/>
        <color theme="1"/>
        <rFont val="Calibri"/>
        <family val="2"/>
        <scheme val="minor"/>
      </rPr>
      <t>(3.8)</t>
    </r>
  </si>
  <si>
    <t>Damit finanzierte Ausgaben</t>
  </si>
  <si>
    <t>Noch zu finanzierende Ausgaben</t>
  </si>
  <si>
    <r>
      <t xml:space="preserve">Restförderbedarf </t>
    </r>
    <r>
      <rPr>
        <i/>
        <sz val="11"/>
        <color theme="1"/>
        <rFont val="Calibri"/>
        <family val="2"/>
        <scheme val="minor"/>
      </rPr>
      <t>(3.9)</t>
    </r>
  </si>
  <si>
    <t>Finanzierungs- und Kassenplan für den zum Programmjahr</t>
  </si>
  <si>
    <r>
      <t xml:space="preserve">beantragten Finanzierungsabschnitt </t>
    </r>
    <r>
      <rPr>
        <i/>
        <sz val="11"/>
        <color theme="1"/>
        <rFont val="Calibri"/>
        <family val="2"/>
        <scheme val="minor"/>
      </rPr>
      <t>(Antragsvordruck Nr. 4 u. 6)</t>
    </r>
  </si>
  <si>
    <r>
      <t xml:space="preserve">Beantragte zuwendungsf. Ausgaben </t>
    </r>
    <r>
      <rPr>
        <i/>
        <sz val="11"/>
        <color theme="1"/>
        <rFont val="Calibri"/>
        <family val="2"/>
        <scheme val="minor"/>
      </rPr>
      <t>(4.1 und 6)</t>
    </r>
  </si>
  <si>
    <r>
      <t xml:space="preserve">Fördersatz </t>
    </r>
    <r>
      <rPr>
        <i/>
        <sz val="11"/>
        <color theme="1"/>
        <rFont val="Calibri"/>
        <family val="2"/>
        <scheme val="minor"/>
      </rPr>
      <t>(4.2)</t>
    </r>
    <r>
      <rPr>
        <b/>
        <sz val="11"/>
        <color theme="1"/>
        <rFont val="Calibri"/>
        <family val="2"/>
        <scheme val="minor"/>
      </rPr>
      <t xml:space="preserve"> / Beantr. Fördersumme im Progr.-jahr  </t>
    </r>
    <r>
      <rPr>
        <i/>
        <sz val="11"/>
        <color theme="1"/>
        <rFont val="Calibri"/>
        <family val="2"/>
        <scheme val="minor"/>
      </rPr>
      <t>(4.3 u. 6)</t>
    </r>
  </si>
  <si>
    <r>
      <t xml:space="preserve">Eigenanteil </t>
    </r>
    <r>
      <rPr>
        <i/>
        <sz val="11"/>
        <color theme="1"/>
        <rFont val="Calibri"/>
        <family val="2"/>
        <scheme val="minor"/>
      </rPr>
      <t>(4.4 und 6)</t>
    </r>
  </si>
  <si>
    <t>Voraussichtliche Mittelverteilung entsprechend Programmaufruf</t>
  </si>
  <si>
    <t>Mittelverwendung / Finanzierung</t>
  </si>
  <si>
    <t>Voraussichtliche Mittelauszahlung (bewilligt+Antrag vorbehaltlich der Bewilligung)</t>
  </si>
  <si>
    <t>Mittel, die nicht im gleichen Jahr verwendet werden (Mittelauszahlung-Förderbedarf)</t>
  </si>
  <si>
    <t>Mittel, die nicht innerhalb 13 Monate verwendet werden (Mittelausz.-Förderbedarf bis Folgejahr)</t>
  </si>
  <si>
    <t>Finanzierungsaufwand der Kommune (Eigenanteil, Vor- und Refinanzierung 
sowie über die Förderobergrenze hinausgehende Ausgaben)</t>
  </si>
  <si>
    <t>Voraussichtliche Fördersumme in späteren Programmjahren</t>
  </si>
  <si>
    <t>Antragsvordruck Nr. 7</t>
  </si>
  <si>
    <t>max. €</t>
  </si>
  <si>
    <r>
      <t xml:space="preserve">Voraussichtlich zu beantragende Zuwendung - nachrichtlich </t>
    </r>
    <r>
      <rPr>
        <i/>
        <sz val="11"/>
        <color theme="1"/>
        <rFont val="Calibri"/>
        <family val="2"/>
        <scheme val="minor"/>
      </rPr>
      <t>(7)</t>
    </r>
  </si>
  <si>
    <t>Daten werden aus den einzelnen Tabellenblättern übernommen.</t>
  </si>
  <si>
    <t>A:</t>
  </si>
  <si>
    <t>1. Jahr</t>
  </si>
  <si>
    <t>4</t>
  </si>
  <si>
    <t>Stichtag zum:</t>
  </si>
  <si>
    <t>Differenz</t>
  </si>
  <si>
    <t>Antragstellerin (Stadt,Gemeinde,Kreis):</t>
  </si>
  <si>
    <t>Anerkennung der Gesamtmaßnahme durch Bewilligungsbescheid vom:</t>
  </si>
  <si>
    <t>max. Fördersumme:</t>
  </si>
  <si>
    <t>B: Übersicht über die Gesamtmaßnahme:</t>
  </si>
  <si>
    <t>Grunds. zuwendungsfähige Gesamtausgaben in der Städtebauförderung</t>
  </si>
  <si>
    <t>Fördermittel der Städtebauförderung</t>
  </si>
  <si>
    <t>Eigenanteil zur Städtebauförderung</t>
  </si>
  <si>
    <t>davon Eigenanteilsübernahme durch Spenden oder Dritte</t>
  </si>
  <si>
    <t>Eigenmittel in der Gesamtmaßnahme</t>
  </si>
  <si>
    <t>Zweckgebundene Einnahmen (zuschussmindernd)</t>
  </si>
  <si>
    <t xml:space="preserve">Maßnahmenbedingte Ausgaben durch  Antragstellerin zu finanzieren </t>
  </si>
  <si>
    <t>Eigenfinanzierte Maßnahmen</t>
  </si>
  <si>
    <t>Maßnahmenbedingte Ausgaben  anderer Förderprogramme</t>
  </si>
  <si>
    <t>Mittel anderer Förderprogramme inklusive Eigenanteil</t>
  </si>
  <si>
    <t>Weitere Eigenmittel zur Sicherstellung der Gesamtfinanzierung</t>
  </si>
  <si>
    <t>Gesamtausgaben</t>
  </si>
  <si>
    <t>Gesamteinnahmen</t>
  </si>
  <si>
    <t>nachrichtliche Darstellung</t>
  </si>
  <si>
    <t>Kosten anderer öffentlicher Träger sowie privater Eigentümer 
und Bauherren als Anteil an der Gesamtmaßnahme</t>
  </si>
  <si>
    <t>Finanzierungsvorstellungen anderer öffentlicher Träger sowie privater Eigentümer 
und Bauherren als Anteil an der Gesamtmaßnahme</t>
  </si>
  <si>
    <t>C: Abwicklung der Städtebaufördermaßnahme</t>
  </si>
  <si>
    <t>Grundsätzlich zuwendungsfähige Gesamtausgaben</t>
  </si>
  <si>
    <t>Abzüglich zweckgebundene Einnahmen</t>
  </si>
  <si>
    <t>Zuwendungsfähige Gesamtausgaben</t>
  </si>
  <si>
    <t>Max. zuwendungsfähige Gesamtausgaben lt. Förderobergrenze</t>
  </si>
  <si>
    <t xml:space="preserve">Fördersatz / Gesamtförderbedarf </t>
  </si>
  <si>
    <t>Eigenanteil an den max. zuwendungsf. Gesamtausgaben</t>
  </si>
  <si>
    <t>Summe bislang erfolgter Bewilligungen</t>
  </si>
  <si>
    <t>Restförderbedarf</t>
  </si>
  <si>
    <r>
      <t xml:space="preserve">Fördersatz </t>
    </r>
    <r>
      <rPr>
        <b/>
        <sz val="11"/>
        <color theme="1"/>
        <rFont val="Calibri"/>
        <family val="2"/>
        <scheme val="minor"/>
      </rPr>
      <t>/ Beantragte Fördersumme im Programmjahr</t>
    </r>
  </si>
  <si>
    <t>Voraussichtl. zu beantragende Zuwendung künftige Programmjahre</t>
  </si>
  <si>
    <t>D: grundsätzlich zuwendungsfähige Ausgaben</t>
  </si>
  <si>
    <t>Kostenentwicklung</t>
  </si>
  <si>
    <t>Ist-
Ausgaben
€</t>
  </si>
  <si>
    <t>Planung
€</t>
  </si>
  <si>
    <t>durchschnitt-liche jährl. Entwicklung
in</t>
  </si>
  <si>
    <t>Summe zuwendungsfähige Ausgaben</t>
  </si>
  <si>
    <t>Fördertatbestände lt. Städtebauförderrichtlinie NRW 2023</t>
  </si>
  <si>
    <t>7</t>
  </si>
  <si>
    <t>Vorbereitung der Erneuerung</t>
  </si>
  <si>
    <t>8.1</t>
  </si>
  <si>
    <t>Bodenordnung</t>
  </si>
  <si>
    <t>8.2</t>
  </si>
  <si>
    <t>Erwerb von Grundstücken</t>
  </si>
  <si>
    <t>8.3</t>
  </si>
  <si>
    <t>Umzug von Bewohnerinnen und Bewohnern</t>
  </si>
  <si>
    <t>8.4</t>
  </si>
  <si>
    <t>Freilegung von Grundstücken</t>
  </si>
  <si>
    <t>8.5</t>
  </si>
  <si>
    <t>Herstellung und Änderung von Erschließungsanlagen</t>
  </si>
  <si>
    <t>8.6</t>
  </si>
  <si>
    <t>Sonstige Ordnungsmaßnahmen</t>
  </si>
  <si>
    <t>9.1</t>
  </si>
  <si>
    <t>Modernisierung und Instandsetzung</t>
  </si>
  <si>
    <t>9.2</t>
  </si>
  <si>
    <t>Sicherung von Gebäuden und Anlagen</t>
  </si>
  <si>
    <t>9.3</t>
  </si>
  <si>
    <t>Rückbau und Entsiegelung privater Gebäude und Anlagen</t>
  </si>
  <si>
    <t>9.4</t>
  </si>
  <si>
    <t>Gemeinbedarfs- und Folgeeinrichtungen</t>
  </si>
  <si>
    <t>9.5</t>
  </si>
  <si>
    <t>Sonstige Baumaßnahmen</t>
  </si>
  <si>
    <t>10.1</t>
  </si>
  <si>
    <t>Kommunale Förderprogramme zur städtebaulichen Aufwertung von Gebäuden und Freiflächen</t>
  </si>
  <si>
    <t>10.2.1</t>
  </si>
  <si>
    <t>Verfügungsfonds zur aktiven Mitwirkung der Bewohnerschaft</t>
  </si>
  <si>
    <t>10.2.2</t>
  </si>
  <si>
    <t>Verfügungsfonds zur Stärkung von Zentren</t>
  </si>
  <si>
    <t>10.3</t>
  </si>
  <si>
    <t>Kommunaler Entwicklungsfonds</t>
  </si>
  <si>
    <t>11.1</t>
  </si>
  <si>
    <t>Ausgaben für die Steuerung und den Abschluss von Erneuerungsmaßnahmen</t>
  </si>
  <si>
    <t>11.2</t>
  </si>
  <si>
    <t>Ausgaben für Leistungen im Zusammenhang mit "Kunst und Bau"</t>
  </si>
  <si>
    <t>11.3</t>
  </si>
  <si>
    <t>Ausgaben für Netzwerke</t>
  </si>
  <si>
    <t>11.4</t>
  </si>
  <si>
    <t>Ausgaben für innovative und experimentelle Vorhaben</t>
  </si>
  <si>
    <t>21</t>
  </si>
  <si>
    <t>Ausnahmen</t>
  </si>
  <si>
    <t>Zurück zur Übersicht der Ausgaben</t>
  </si>
  <si>
    <t>Zurück zur KuF Zusammenfassung</t>
  </si>
  <si>
    <t>Stand der Planung/Umsetzung</t>
  </si>
  <si>
    <t>Phase</t>
  </si>
  <si>
    <t>Baumaßnahmen
Nr. 8.4, 8.5, 8.6, 9.1, 9.2, 9.3, 9.4, 9.5, 11.2 FRL</t>
  </si>
  <si>
    <t>Beauftragung von Dritten
Nr. 7, 8.3, 11.1, 11.3, 11.4 FRL
(z. B. Stadtteilmanagement, Quartiersarchitekten, Evaluation)</t>
  </si>
  <si>
    <t>Grunderwerb, Bodenordnung
Nr. 8.1, 8.2 FRL</t>
  </si>
  <si>
    <t>Kommunale Förderprogramme
Nrn 10.1, 10.2.1, 10.2.2, 10.3
Z. B. Hof- und Fassadenprogramm,
Verfügungsfonds</t>
  </si>
  <si>
    <t>LPH 1 HOAI, Grundlagenermittlung</t>
  </si>
  <si>
    <t>Grundlagenermittlung / Projektblatt</t>
  </si>
  <si>
    <t>LPH 2 HOAI, Vorplanung mit Kostenschätzung</t>
  </si>
  <si>
    <t>LPH 3 HOAI, Entwurfsplanung mit Kostenberechnung</t>
  </si>
  <si>
    <t>Leistungsbild wurde beschrieben incl. Kostenberechnung</t>
  </si>
  <si>
    <t>Bezeichnung der Grudstücke mit Kostenberechnung</t>
  </si>
  <si>
    <t>Kostenkalkulation</t>
  </si>
  <si>
    <t>LPH 4 HOAI, Genehmigungsplanung</t>
  </si>
  <si>
    <t>LPH 5 HOAI, Ausführungsplanung</t>
  </si>
  <si>
    <t>Bodenwertgutachten liegt vor</t>
  </si>
  <si>
    <t>LPH 6 HOAI, Vorbereitung der Vergabe</t>
  </si>
  <si>
    <t>Ausschreibungsunterlagen wurden vorbereitet</t>
  </si>
  <si>
    <t>Entwurf des Kaufvertrages liegt vor</t>
  </si>
  <si>
    <t>Richtlinie wurde erstellt</t>
  </si>
  <si>
    <t>LPH 7 HOAI, Mitwirkung bei der Vergabe</t>
  </si>
  <si>
    <t>Vergabeverfahren wurde durchgeführt, Vergabeentscheidung ist getroffen, Maßnahme befindet sich in der Umsetzung</t>
  </si>
  <si>
    <t>Kaufvertrag wurde geschlossen</t>
  </si>
  <si>
    <t>Richtlinie wurde verabschiedet, es können Anträge gestellt werden</t>
  </si>
  <si>
    <t>LPH 8 HOAI, Objektüberwachung</t>
  </si>
  <si>
    <t>Maßnahme wurde umgesetzt, Vertrag ist ausgelaufen</t>
  </si>
  <si>
    <t>Kaufpreis wurde bezahlt</t>
  </si>
  <si>
    <t>Programm wurde umgesetzt und ist beendet</t>
  </si>
  <si>
    <t>LPH 9 HOAI, Objektbetreuung</t>
  </si>
  <si>
    <t>Schlussrechnung wurde abgerechnet</t>
  </si>
  <si>
    <t>Grunderwerb mit allen Nebenkosten ist abgerechnet</t>
  </si>
  <si>
    <t>Alle Einzelprojekte wurden abgerechnet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</si>
</sst>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bis &quot;0"/>
    <numFmt numFmtId="165" formatCode="m\/yy"/>
    <numFmt numFmtId="166" formatCode="0\ &quot;ff&quot;"/>
    <numFmt numFmtId="167" formatCode="#,##0\ &quot;€&quot;"/>
    <numFmt numFmtId="168" formatCode="#,##0.00\ &quot;€&quot;"/>
    <numFmt numFmtId="169" formatCode="0.0%"/>
    <numFmt numFmtId="170" formatCode="\+\ #,##0_ ;\-\ #,##0\ "/>
    <numFmt numFmtId="171" formatCode="0.0"/>
  </numFmts>
  <fonts count="41">
    <font>
      <sz val="11"/>
      <color theme="1"/>
      <name val="Calibri"/>
      <family val="2"/>
      <scheme val="minor"/>
    </font>
    <font>
      <sz val="10"/>
      <name val="MS Sans Serif"/>
    </font>
    <font>
      <sz val="11"/>
      <name val="Calibri"/>
      <family val="2"/>
      <scheme val="minor"/>
    </font>
    <font>
      <b/>
      <sz val="11"/>
      <color theme="1"/>
      <name val="Calibri"/>
      <family val="2"/>
      <scheme val="minor"/>
    </font>
    <font>
      <sz val="9"/>
      <color indexed="81"/>
      <name val="Segoe UI"/>
      <family val="2"/>
    </font>
    <font>
      <sz val="10"/>
      <color theme="1"/>
      <name val="Calibri"/>
      <family val="2"/>
      <scheme val="minor"/>
    </font>
    <font>
      <b/>
      <sz val="10"/>
      <color theme="1"/>
      <name val="Calibri"/>
      <family val="2"/>
      <scheme val="minor"/>
    </font>
    <font>
      <b/>
      <sz val="10"/>
      <name val="Calibri"/>
      <family val="2"/>
      <scheme val="minor"/>
    </font>
    <font>
      <b/>
      <sz val="12"/>
      <color theme="1"/>
      <name val="Calibri"/>
      <family val="2"/>
      <scheme val="minor"/>
    </font>
    <font>
      <sz val="8"/>
      <color theme="1"/>
      <name val="Calibri"/>
      <family val="2"/>
      <scheme val="minor"/>
    </font>
    <font>
      <i/>
      <sz val="8"/>
      <name val="Calibri"/>
      <family val="2"/>
      <scheme val="minor"/>
    </font>
    <font>
      <i/>
      <sz val="11"/>
      <color theme="1"/>
      <name val="Calibri"/>
      <family val="2"/>
      <scheme val="minor"/>
    </font>
    <font>
      <sz val="11"/>
      <color theme="1"/>
      <name val="Calibri"/>
      <family val="2"/>
      <scheme val="minor"/>
    </font>
    <font>
      <b/>
      <sz val="11"/>
      <name val="Calibri"/>
      <family val="2"/>
      <scheme val="minor"/>
    </font>
    <font>
      <sz val="8"/>
      <name val="Calibri"/>
      <family val="2"/>
      <scheme val="minor"/>
    </font>
    <font>
      <sz val="12"/>
      <color theme="1"/>
      <name val="Calibri"/>
      <family val="2"/>
      <scheme val="minor"/>
    </font>
    <font>
      <b/>
      <u/>
      <sz val="12"/>
      <color theme="1"/>
      <name val="Calibri"/>
      <family val="2"/>
      <scheme val="minor"/>
    </font>
    <font>
      <sz val="9"/>
      <color theme="1"/>
      <name val="Calibri"/>
      <family val="2"/>
      <scheme val="minor"/>
    </font>
    <font>
      <b/>
      <sz val="12"/>
      <name val="Calibri"/>
      <family val="2"/>
      <scheme val="minor"/>
    </font>
    <font>
      <sz val="10"/>
      <name val="Calibri"/>
      <family val="2"/>
      <scheme val="minor"/>
    </font>
    <font>
      <i/>
      <sz val="8"/>
      <color theme="1" tint="0.34998626667073579"/>
      <name val="Calibri"/>
      <family val="2"/>
      <scheme val="minor"/>
    </font>
    <font>
      <i/>
      <sz val="8"/>
      <color theme="1"/>
      <name val="Calibri"/>
      <family val="2"/>
      <scheme val="minor"/>
    </font>
    <font>
      <sz val="11"/>
      <color theme="0"/>
      <name val="Calibri"/>
      <family val="2"/>
      <scheme val="minor"/>
    </font>
    <font>
      <sz val="10"/>
      <color theme="0"/>
      <name val="Calibri"/>
      <family val="2"/>
      <scheme val="minor"/>
    </font>
    <font>
      <sz val="11"/>
      <color theme="7" tint="0.79998168889431442"/>
      <name val="Calibri"/>
      <family val="2"/>
      <scheme val="minor"/>
    </font>
    <font>
      <sz val="12"/>
      <color theme="0"/>
      <name val="Calibri"/>
      <family val="2"/>
      <scheme val="minor"/>
    </font>
    <font>
      <u/>
      <sz val="11"/>
      <color theme="10"/>
      <name val="Calibri"/>
      <family val="2"/>
      <scheme val="minor"/>
    </font>
    <font>
      <sz val="11"/>
      <color rgb="FFFF0000"/>
      <name val="Calibri"/>
      <family val="2"/>
      <scheme val="minor"/>
    </font>
    <font>
      <sz val="12"/>
      <name val="Calibri"/>
      <family val="2"/>
      <scheme val="minor"/>
    </font>
    <font>
      <sz val="14"/>
      <color theme="1"/>
      <name val="Calibri"/>
      <family val="2"/>
      <scheme val="minor"/>
    </font>
    <font>
      <u/>
      <sz val="11"/>
      <color theme="1"/>
      <name val="Calibri"/>
      <family val="2"/>
      <scheme val="minor"/>
    </font>
    <font>
      <u/>
      <sz val="12"/>
      <color theme="1"/>
      <name val="Calibri"/>
      <family val="2"/>
      <scheme val="minor"/>
    </font>
    <font>
      <b/>
      <u/>
      <sz val="14"/>
      <color theme="1"/>
      <name val="Calibri"/>
      <family val="2"/>
      <scheme val="minor"/>
    </font>
    <font>
      <sz val="11"/>
      <color theme="9" tint="0.59999389629810485"/>
      <name val="Calibri"/>
      <family val="2"/>
      <scheme val="minor"/>
    </font>
    <font>
      <i/>
      <sz val="9"/>
      <color theme="1"/>
      <name val="Calibri"/>
      <family val="2"/>
      <scheme val="minor"/>
    </font>
    <font>
      <b/>
      <sz val="11"/>
      <color rgb="FFFF0000"/>
      <name val="Calibri"/>
      <family val="2"/>
      <scheme val="minor"/>
    </font>
    <font>
      <sz val="12"/>
      <color theme="0" tint="-0.14999847407452621"/>
      <name val="Calibri"/>
      <family val="2"/>
      <scheme val="minor"/>
    </font>
    <font>
      <i/>
      <sz val="11"/>
      <name val="Calibri"/>
      <family val="2"/>
      <scheme val="minor"/>
    </font>
    <font>
      <u/>
      <sz val="11"/>
      <name val="Calibri"/>
      <family val="2"/>
      <scheme val="minor"/>
    </font>
    <font>
      <u/>
      <sz val="12"/>
      <name val="Calibri"/>
      <family val="2"/>
      <scheme val="minor"/>
    </font>
    <font>
      <sz val="10"/>
      <color theme="7" tint="0.79998168889431442"/>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0" tint="-0.149967955565050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5"/>
        <bgColor indexed="64"/>
      </patternFill>
    </fill>
  </fills>
  <borders count="1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ck">
        <color auto="1"/>
      </top>
      <bottom/>
      <diagonal/>
    </border>
    <border>
      <left style="thin">
        <color auto="1"/>
      </left>
      <right style="thin">
        <color auto="1"/>
      </right>
      <top style="thick">
        <color auto="1"/>
      </top>
      <bottom style="medium">
        <color auto="1"/>
      </bottom>
      <diagonal/>
    </border>
    <border>
      <left style="thin">
        <color auto="1"/>
      </left>
      <right style="thin">
        <color auto="1"/>
      </right>
      <top style="thick">
        <color auto="1"/>
      </top>
      <bottom/>
      <diagonal/>
    </border>
    <border>
      <left/>
      <right/>
      <top style="thick">
        <color auto="1"/>
      </top>
      <bottom/>
      <diagonal/>
    </border>
    <border>
      <left/>
      <right style="thin">
        <color auto="1"/>
      </right>
      <top style="thick">
        <color auto="1"/>
      </top>
      <bottom style="medium">
        <color auto="1"/>
      </bottom>
      <diagonal/>
    </border>
    <border>
      <left style="thin">
        <color auto="1"/>
      </left>
      <right/>
      <top style="thick">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ck">
        <color auto="1"/>
      </top>
      <bottom/>
      <diagonal/>
    </border>
    <border>
      <left/>
      <right style="medium">
        <color auto="1"/>
      </right>
      <top style="thick">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ck">
        <color auto="1"/>
      </top>
      <bottom style="thin">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style="thin">
        <color auto="1"/>
      </left>
      <right style="hair">
        <color auto="1"/>
      </right>
      <top style="thick">
        <color auto="1"/>
      </top>
      <bottom style="thin">
        <color auto="1"/>
      </bottom>
      <diagonal/>
    </border>
    <border>
      <left style="hair">
        <color auto="1"/>
      </left>
      <right style="hair">
        <color auto="1"/>
      </right>
      <top style="thick">
        <color auto="1"/>
      </top>
      <bottom style="thin">
        <color auto="1"/>
      </bottom>
      <diagonal/>
    </border>
    <border>
      <left style="hair">
        <color auto="1"/>
      </left>
      <right style="thin">
        <color auto="1"/>
      </right>
      <top style="thick">
        <color auto="1"/>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style="medium">
        <color auto="1"/>
      </top>
      <bottom style="medium">
        <color auto="1"/>
      </bottom>
      <diagonal/>
    </border>
    <border>
      <left style="thin">
        <color auto="1"/>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style="hair">
        <color auto="1"/>
      </left>
      <right style="thin">
        <color auto="1"/>
      </right>
      <top style="thick">
        <color auto="1"/>
      </top>
      <bottom style="thick">
        <color auto="1"/>
      </bottom>
      <diagonal/>
    </border>
    <border>
      <left style="thin">
        <color auto="1"/>
      </left>
      <right style="hair">
        <color auto="1"/>
      </right>
      <top style="thick">
        <color auto="1"/>
      </top>
      <bottom/>
      <diagonal/>
    </border>
    <border>
      <left style="hair">
        <color auto="1"/>
      </left>
      <right style="hair">
        <color auto="1"/>
      </right>
      <top style="thick">
        <color auto="1"/>
      </top>
      <bottom/>
      <diagonal/>
    </border>
    <border>
      <left style="hair">
        <color auto="1"/>
      </left>
      <right style="thin">
        <color auto="1"/>
      </right>
      <top style="thick">
        <color auto="1"/>
      </top>
      <bottom/>
      <diagonal/>
    </border>
    <border>
      <left style="thin">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ck">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ck">
        <color auto="1"/>
      </top>
      <bottom/>
      <diagonal/>
    </border>
    <border>
      <left/>
      <right style="medium">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style="thin">
        <color auto="1"/>
      </left>
      <right/>
      <top style="medium">
        <color auto="1"/>
      </top>
      <bottom style="thin">
        <color auto="1"/>
      </bottom>
      <diagonal/>
    </border>
    <border>
      <left/>
      <right/>
      <top style="medium">
        <color auto="1"/>
      </top>
      <bottom/>
      <diagonal/>
    </border>
    <border>
      <left/>
      <right style="thin">
        <color auto="1"/>
      </right>
      <top style="medium">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hair">
        <color auto="1"/>
      </right>
      <top style="thick">
        <color auto="1"/>
      </top>
      <bottom style="thin">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hair">
        <color auto="1"/>
      </left>
      <right/>
      <top/>
      <bottom/>
      <diagonal/>
    </border>
  </borders>
  <cellStyleXfs count="3">
    <xf numFmtId="0" fontId="0" fillId="0" borderId="0"/>
    <xf numFmtId="0" fontId="1" fillId="0" borderId="0"/>
    <xf numFmtId="0" fontId="26" fillId="0" borderId="0" applyNumberFormat="0" applyFill="0" applyBorder="0" applyAlignment="0" applyProtection="0"/>
  </cellStyleXfs>
  <cellXfs count="573">
    <xf numFmtId="0" fontId="0" fillId="0" borderId="0" xfId="0"/>
    <xf numFmtId="49" fontId="0" fillId="0" borderId="0" xfId="0" applyNumberFormat="1"/>
    <xf numFmtId="0" fontId="0" fillId="0" borderId="0" xfId="0" applyAlignment="1">
      <alignment vertical="center"/>
    </xf>
    <xf numFmtId="49" fontId="10" fillId="5" borderId="9" xfId="1" applyNumberFormat="1" applyFont="1" applyFill="1" applyBorder="1" applyAlignment="1">
      <alignment horizontal="center" vertical="center"/>
    </xf>
    <xf numFmtId="49" fontId="10" fillId="5" borderId="1" xfId="1" applyNumberFormat="1" applyFont="1" applyFill="1" applyBorder="1" applyAlignment="1">
      <alignment horizontal="center" vertical="center"/>
    </xf>
    <xf numFmtId="49" fontId="10" fillId="5" borderId="1" xfId="1" applyNumberFormat="1" applyFont="1" applyFill="1" applyBorder="1" applyAlignment="1">
      <alignment horizontal="center" vertical="center" wrapText="1"/>
    </xf>
    <xf numFmtId="0" fontId="8" fillId="0" borderId="0" xfId="0" applyFont="1"/>
    <xf numFmtId="49" fontId="10" fillId="5" borderId="6"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wrapText="1"/>
    </xf>
    <xf numFmtId="49" fontId="10" fillId="5" borderId="9" xfId="0" applyNumberFormat="1" applyFont="1" applyFill="1" applyBorder="1" applyAlignment="1">
      <alignment horizontal="center" vertical="center"/>
    </xf>
    <xf numFmtId="49" fontId="10" fillId="5" borderId="5" xfId="0" applyNumberFormat="1" applyFont="1" applyFill="1" applyBorder="1" applyAlignment="1">
      <alignment horizontal="center" vertical="center"/>
    </xf>
    <xf numFmtId="3" fontId="0" fillId="0" borderId="0" xfId="0" applyNumberFormat="1" applyAlignment="1">
      <alignment vertical="center"/>
    </xf>
    <xf numFmtId="3" fontId="0" fillId="0" borderId="15" xfId="0" applyNumberFormat="1" applyBorder="1" applyAlignment="1">
      <alignment vertical="center"/>
    </xf>
    <xf numFmtId="3" fontId="0" fillId="4" borderId="15" xfId="0" applyNumberFormat="1" applyFill="1" applyBorder="1" applyAlignment="1">
      <alignment vertical="center"/>
    </xf>
    <xf numFmtId="0" fontId="0" fillId="0" borderId="33" xfId="0" applyBorder="1" applyAlignment="1">
      <alignment horizontal="center" vertical="center"/>
    </xf>
    <xf numFmtId="164" fontId="13" fillId="5" borderId="6" xfId="1" applyNumberFormat="1" applyFont="1" applyFill="1" applyBorder="1" applyAlignment="1">
      <alignment horizontal="center"/>
    </xf>
    <xf numFmtId="1" fontId="13" fillId="5" borderId="9" xfId="1" applyNumberFormat="1" applyFont="1" applyFill="1" applyBorder="1" applyAlignment="1">
      <alignment horizontal="center"/>
    </xf>
    <xf numFmtId="166" fontId="13" fillId="5" borderId="5" xfId="1" applyNumberFormat="1" applyFont="1" applyFill="1" applyBorder="1" applyAlignment="1">
      <alignment horizontal="center"/>
    </xf>
    <xf numFmtId="49" fontId="10" fillId="5" borderId="38" xfId="0" applyNumberFormat="1" applyFont="1" applyFill="1" applyBorder="1" applyAlignment="1">
      <alignment horizontal="center" vertical="center"/>
    </xf>
    <xf numFmtId="49" fontId="10" fillId="5" borderId="39" xfId="0" applyNumberFormat="1" applyFont="1" applyFill="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Continuous" vertical="center" wrapText="1"/>
    </xf>
    <xf numFmtId="0" fontId="0" fillId="0" borderId="45" xfId="0" applyBorder="1" applyAlignment="1">
      <alignment horizontal="centerContinuous" vertical="center" wrapText="1"/>
    </xf>
    <xf numFmtId="0" fontId="0" fillId="0" borderId="45" xfId="0" applyBorder="1" applyAlignment="1">
      <alignment horizontal="centerContinuous" vertical="center"/>
    </xf>
    <xf numFmtId="0" fontId="15" fillId="0" borderId="0" xfId="0" applyFont="1" applyAlignment="1">
      <alignment wrapText="1"/>
    </xf>
    <xf numFmtId="0" fontId="15" fillId="0" borderId="0" xfId="0" applyFont="1"/>
    <xf numFmtId="0" fontId="15" fillId="0" borderId="1" xfId="0" applyFont="1" applyBorder="1" applyAlignment="1">
      <alignment horizontal="center"/>
    </xf>
    <xf numFmtId="0" fontId="15" fillId="0" borderId="1" xfId="0" applyFont="1" applyBorder="1" applyAlignment="1">
      <alignment wrapText="1"/>
    </xf>
    <xf numFmtId="0" fontId="15" fillId="0" borderId="1" xfId="0" applyFont="1" applyBorder="1"/>
    <xf numFmtId="0" fontId="8" fillId="5" borderId="1" xfId="0" applyFont="1" applyFill="1" applyBorder="1"/>
    <xf numFmtId="0" fontId="8" fillId="5" borderId="1" xfId="0" applyFont="1" applyFill="1" applyBorder="1" applyAlignment="1">
      <alignment wrapText="1"/>
    </xf>
    <xf numFmtId="0" fontId="0" fillId="0" borderId="0" xfId="0" applyAlignment="1">
      <alignment vertical="center" wrapText="1"/>
    </xf>
    <xf numFmtId="0" fontId="2" fillId="0" borderId="0" xfId="0" applyFont="1" applyAlignment="1">
      <alignment vertical="center" wrapText="1"/>
    </xf>
    <xf numFmtId="3" fontId="7" fillId="5" borderId="2" xfId="1" applyNumberFormat="1" applyFont="1" applyFill="1" applyBorder="1" applyAlignment="1">
      <alignment horizontal="center" vertical="center"/>
    </xf>
    <xf numFmtId="164" fontId="7" fillId="5" borderId="2" xfId="1" applyNumberFormat="1" applyFont="1" applyFill="1" applyBorder="1" applyAlignment="1">
      <alignment horizontal="center" vertical="center"/>
    </xf>
    <xf numFmtId="1" fontId="7" fillId="5" borderId="2" xfId="1" applyNumberFormat="1" applyFont="1" applyFill="1" applyBorder="1" applyAlignment="1">
      <alignment horizontal="center" vertical="center"/>
    </xf>
    <xf numFmtId="166" fontId="7" fillId="5" borderId="2" xfId="1" applyNumberFormat="1" applyFont="1" applyFill="1" applyBorder="1" applyAlignment="1">
      <alignment horizontal="center" vertical="center"/>
    </xf>
    <xf numFmtId="3" fontId="7" fillId="5" borderId="47" xfId="1" applyNumberFormat="1" applyFont="1" applyFill="1" applyBorder="1" applyAlignment="1">
      <alignment horizontal="center" vertical="center"/>
    </xf>
    <xf numFmtId="164" fontId="19" fillId="5" borderId="47" xfId="1" applyNumberFormat="1" applyFont="1" applyFill="1" applyBorder="1" applyAlignment="1">
      <alignment horizontal="center" vertical="center"/>
    </xf>
    <xf numFmtId="1" fontId="19" fillId="5" borderId="47" xfId="1" applyNumberFormat="1" applyFont="1" applyFill="1" applyBorder="1" applyAlignment="1">
      <alignment horizontal="center" vertical="center"/>
    </xf>
    <xf numFmtId="166" fontId="19" fillId="5" borderId="47" xfId="1" applyNumberFormat="1" applyFont="1" applyFill="1" applyBorder="1" applyAlignment="1">
      <alignment horizontal="center" vertical="center"/>
    </xf>
    <xf numFmtId="0" fontId="7" fillId="5" borderId="2" xfId="1" applyFont="1" applyFill="1" applyBorder="1" applyAlignment="1">
      <alignment horizontal="center" wrapText="1"/>
    </xf>
    <xf numFmtId="167" fontId="0" fillId="0" borderId="24" xfId="0" applyNumberFormat="1" applyBorder="1" applyAlignment="1">
      <alignment horizontal="right" vertical="center" wrapText="1" indent="1"/>
    </xf>
    <xf numFmtId="0" fontId="0" fillId="0" borderId="7" xfId="0" applyBorder="1" applyAlignment="1">
      <alignment vertical="center"/>
    </xf>
    <xf numFmtId="0" fontId="0" fillId="0" borderId="1" xfId="0" applyBorder="1" applyAlignment="1">
      <alignment vertical="center"/>
    </xf>
    <xf numFmtId="49" fontId="8" fillId="0" borderId="0" xfId="0" applyNumberFormat="1" applyFont="1"/>
    <xf numFmtId="49" fontId="15" fillId="0" borderId="1" xfId="0" applyNumberFormat="1" applyFont="1" applyBorder="1"/>
    <xf numFmtId="0" fontId="15" fillId="0" borderId="0" xfId="0" applyFont="1" applyAlignment="1">
      <alignment vertical="center"/>
    </xf>
    <xf numFmtId="0" fontId="15" fillId="0" borderId="0" xfId="0" applyFont="1" applyAlignment="1">
      <alignment vertical="center" wrapText="1"/>
    </xf>
    <xf numFmtId="14" fontId="15" fillId="0" borderId="0" xfId="0" applyNumberFormat="1" applyFont="1" applyAlignment="1">
      <alignment horizontal="left" vertical="center" wrapText="1"/>
    </xf>
    <xf numFmtId="0" fontId="3" fillId="5" borderId="22" xfId="0" applyFont="1" applyFill="1" applyBorder="1" applyAlignment="1">
      <alignment horizontal="center" wrapText="1"/>
    </xf>
    <xf numFmtId="0" fontId="20" fillId="7" borderId="9" xfId="0" applyFont="1" applyFill="1" applyBorder="1" applyAlignment="1">
      <alignment horizontal="center"/>
    </xf>
    <xf numFmtId="0" fontId="20" fillId="7" borderId="9" xfId="0" applyFont="1" applyFill="1" applyBorder="1" applyAlignment="1">
      <alignment horizontal="center" wrapText="1"/>
    </xf>
    <xf numFmtId="0" fontId="20" fillId="0" borderId="0" xfId="0" applyFont="1" applyAlignment="1">
      <alignment horizontal="center"/>
    </xf>
    <xf numFmtId="0" fontId="3" fillId="0" borderId="0" xfId="0" applyFont="1"/>
    <xf numFmtId="0" fontId="0" fillId="0" borderId="1" xfId="0" applyBorder="1" applyAlignment="1">
      <alignment horizontal="left" vertical="center"/>
    </xf>
    <xf numFmtId="0" fontId="0" fillId="6" borderId="1" xfId="0" applyFill="1" applyBorder="1" applyAlignment="1">
      <alignment vertical="center" wrapText="1"/>
    </xf>
    <xf numFmtId="0" fontId="0" fillId="0" borderId="1" xfId="0" applyBorder="1" applyAlignment="1">
      <alignment vertical="center" wrapText="1"/>
    </xf>
    <xf numFmtId="0" fontId="0" fillId="0" borderId="17" xfId="0" applyBorder="1" applyAlignment="1">
      <alignment horizontal="center" vertical="center"/>
    </xf>
    <xf numFmtId="165" fontId="0" fillId="0" borderId="1" xfId="0" applyNumberFormat="1" applyBorder="1" applyAlignment="1">
      <alignment horizontal="center" vertical="center"/>
    </xf>
    <xf numFmtId="165" fontId="0" fillId="0" borderId="18" xfId="0" applyNumberFormat="1" applyBorder="1" applyAlignment="1">
      <alignment horizontal="center" vertical="center"/>
    </xf>
    <xf numFmtId="0" fontId="0" fillId="0" borderId="36" xfId="0" applyBorder="1" applyAlignment="1">
      <alignment horizontal="center" vertical="center"/>
    </xf>
    <xf numFmtId="165" fontId="0" fillId="0" borderId="2" xfId="0" applyNumberFormat="1" applyBorder="1" applyAlignment="1">
      <alignment horizontal="center" vertical="center"/>
    </xf>
    <xf numFmtId="165" fontId="0" fillId="0" borderId="37" xfId="0" applyNumberFormat="1" applyBorder="1" applyAlignment="1">
      <alignment horizontal="center" vertical="center"/>
    </xf>
    <xf numFmtId="0" fontId="0" fillId="0" borderId="1" xfId="0" applyBorder="1" applyAlignment="1">
      <alignment horizontal="center" vertical="center"/>
    </xf>
    <xf numFmtId="3" fontId="0" fillId="3" borderId="1" xfId="0" applyNumberFormat="1" applyFill="1" applyBorder="1" applyAlignment="1">
      <alignment vertical="center"/>
    </xf>
    <xf numFmtId="3" fontId="0" fillId="0" borderId="1" xfId="0" applyNumberFormat="1" applyBorder="1" applyAlignment="1">
      <alignment vertical="center"/>
    </xf>
    <xf numFmtId="3" fontId="0" fillId="4" borderId="1" xfId="0" applyNumberFormat="1" applyFill="1" applyBorder="1" applyAlignment="1">
      <alignment vertical="center"/>
    </xf>
    <xf numFmtId="3" fontId="0" fillId="0" borderId="8" xfId="0" applyNumberFormat="1" applyBorder="1" applyAlignment="1">
      <alignment vertical="center"/>
    </xf>
    <xf numFmtId="0" fontId="3" fillId="0" borderId="24" xfId="0" applyFont="1" applyBorder="1" applyAlignment="1">
      <alignment horizontal="left" vertical="center"/>
    </xf>
    <xf numFmtId="0" fontId="2" fillId="0" borderId="22" xfId="0" applyFont="1" applyBorder="1" applyAlignment="1">
      <alignment vertical="center" wrapText="1"/>
    </xf>
    <xf numFmtId="14" fontId="8" fillId="0" borderId="22" xfId="0" applyNumberFormat="1" applyFont="1" applyBorder="1" applyAlignment="1">
      <alignment horizontal="left" vertical="center"/>
    </xf>
    <xf numFmtId="0" fontId="12" fillId="0" borderId="22" xfId="0" applyFont="1" applyBorder="1" applyAlignment="1">
      <alignment vertical="center"/>
    </xf>
    <xf numFmtId="0" fontId="0" fillId="0" borderId="22" xfId="0" applyBorder="1" applyAlignment="1">
      <alignment vertical="center"/>
    </xf>
    <xf numFmtId="0" fontId="0" fillId="0" borderId="23" xfId="0"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0" fillId="0" borderId="24" xfId="0" applyBorder="1" applyAlignment="1">
      <alignment horizontal="right" vertical="center"/>
    </xf>
    <xf numFmtId="0" fontId="0" fillId="0" borderId="24" xfId="0" applyBorder="1" applyAlignment="1">
      <alignment vertical="center"/>
    </xf>
    <xf numFmtId="9" fontId="0" fillId="0" borderId="0" xfId="0" applyNumberFormat="1" applyAlignment="1">
      <alignment vertical="center"/>
    </xf>
    <xf numFmtId="9" fontId="0" fillId="0" borderId="24" xfId="0" applyNumberFormat="1" applyBorder="1" applyAlignment="1">
      <alignment horizontal="left" vertical="center"/>
    </xf>
    <xf numFmtId="9" fontId="0" fillId="0" borderId="0" xfId="0" applyNumberFormat="1" applyAlignment="1">
      <alignment horizontal="left" vertical="center"/>
    </xf>
    <xf numFmtId="168" fontId="0" fillId="0" borderId="0" xfId="0" applyNumberFormat="1" applyAlignment="1">
      <alignment vertical="center" wrapText="1"/>
    </xf>
    <xf numFmtId="14" fontId="2" fillId="0" borderId="0" xfId="0" applyNumberFormat="1"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left" vertical="center"/>
    </xf>
    <xf numFmtId="0" fontId="0" fillId="0" borderId="23" xfId="0" applyBorder="1" applyAlignment="1">
      <alignment vertical="center"/>
    </xf>
    <xf numFmtId="14" fontId="0" fillId="0" borderId="23" xfId="0" applyNumberFormat="1" applyBorder="1" applyAlignment="1">
      <alignment horizontal="left" vertical="center"/>
    </xf>
    <xf numFmtId="0" fontId="0" fillId="0" borderId="25" xfId="0" applyBorder="1" applyAlignment="1">
      <alignment vertical="center" wrapText="1"/>
    </xf>
    <xf numFmtId="14" fontId="2" fillId="0" borderId="25" xfId="0" applyNumberFormat="1" applyFont="1" applyBorder="1" applyAlignment="1">
      <alignment horizontal="left" vertical="center" wrapText="1"/>
    </xf>
    <xf numFmtId="0" fontId="0" fillId="0" borderId="25" xfId="0" applyBorder="1" applyAlignment="1">
      <alignment horizontal="left" vertical="center"/>
    </xf>
    <xf numFmtId="0" fontId="0" fillId="0" borderId="5" xfId="0" applyBorder="1" applyAlignment="1">
      <alignment vertical="center"/>
    </xf>
    <xf numFmtId="0" fontId="0" fillId="0" borderId="25" xfId="0" applyBorder="1" applyAlignment="1">
      <alignment vertical="center"/>
    </xf>
    <xf numFmtId="0" fontId="0" fillId="0" borderId="6" xfId="0" applyBorder="1" applyAlignment="1">
      <alignment horizontal="right" vertical="center"/>
    </xf>
    <xf numFmtId="0" fontId="0" fillId="0" borderId="0" xfId="0" applyAlignment="1">
      <alignment horizontal="right" vertical="center"/>
    </xf>
    <xf numFmtId="0" fontId="16" fillId="0" borderId="0" xfId="0" applyFont="1" applyAlignment="1">
      <alignment horizontal="left" vertical="center"/>
    </xf>
    <xf numFmtId="3" fontId="0" fillId="0" borderId="0" xfId="0" applyNumberFormat="1" applyAlignment="1">
      <alignment horizontal="right" vertical="center"/>
    </xf>
    <xf numFmtId="3" fontId="9" fillId="0" borderId="0" xfId="0" applyNumberFormat="1" applyFont="1" applyAlignment="1">
      <alignment vertical="center"/>
    </xf>
    <xf numFmtId="0" fontId="8" fillId="0" borderId="0" xfId="0" applyFont="1" applyAlignment="1">
      <alignment horizontal="left" vertical="center"/>
    </xf>
    <xf numFmtId="0" fontId="3" fillId="0" borderId="0" xfId="0" applyFont="1" applyAlignment="1">
      <alignment vertical="center" wrapText="1"/>
    </xf>
    <xf numFmtId="0" fontId="17" fillId="0" borderId="0" xfId="0" applyFont="1" applyAlignment="1">
      <alignment horizontal="left" vertical="center"/>
    </xf>
    <xf numFmtId="167" fontId="0" fillId="0" borderId="2" xfId="0" applyNumberFormat="1" applyBorder="1" applyAlignment="1">
      <alignment horizontal="right" vertical="center"/>
    </xf>
    <xf numFmtId="3" fontId="0" fillId="0" borderId="27" xfId="0" applyNumberFormat="1" applyBorder="1" applyAlignment="1">
      <alignment vertical="center"/>
    </xf>
    <xf numFmtId="3" fontId="0" fillId="0" borderId="22" xfId="0" applyNumberFormat="1" applyBorder="1" applyAlignment="1">
      <alignment vertical="center"/>
    </xf>
    <xf numFmtId="167" fontId="0" fillId="0" borderId="2" xfId="0" applyNumberFormat="1" applyBorder="1" applyAlignment="1">
      <alignment vertical="center"/>
    </xf>
    <xf numFmtId="169" fontId="9" fillId="0" borderId="23" xfId="0" applyNumberFormat="1" applyFont="1" applyBorder="1" applyAlignment="1">
      <alignment horizontal="center" vertical="center"/>
    </xf>
    <xf numFmtId="167" fontId="0" fillId="0" borderId="27" xfId="0" applyNumberFormat="1" applyBorder="1" applyAlignment="1">
      <alignment vertical="center"/>
    </xf>
    <xf numFmtId="169" fontId="9" fillId="0" borderId="0" xfId="0" applyNumberFormat="1" applyFont="1" applyAlignment="1">
      <alignment vertical="center"/>
    </xf>
    <xf numFmtId="167" fontId="0" fillId="0" borderId="0" xfId="0" applyNumberFormat="1" applyAlignment="1">
      <alignment vertical="center"/>
    </xf>
    <xf numFmtId="14" fontId="9" fillId="0" borderId="0" xfId="0" applyNumberFormat="1" applyFont="1" applyAlignment="1">
      <alignment horizontal="left" vertical="center"/>
    </xf>
    <xf numFmtId="167" fontId="0" fillId="0" borderId="27" xfId="0" applyNumberFormat="1" applyBorder="1" applyAlignment="1">
      <alignment horizontal="right" vertical="center"/>
    </xf>
    <xf numFmtId="0" fontId="3" fillId="0" borderId="8" xfId="0" applyFont="1" applyBorder="1" applyAlignment="1">
      <alignment vertical="center" wrapText="1"/>
    </xf>
    <xf numFmtId="0" fontId="13" fillId="0" borderId="26" xfId="0" applyFont="1" applyBorder="1" applyAlignment="1">
      <alignment vertical="center" wrapText="1"/>
    </xf>
    <xf numFmtId="167" fontId="3" fillId="0" borderId="1" xfId="0" applyNumberFormat="1" applyFont="1" applyBorder="1" applyAlignment="1">
      <alignment horizontal="right" vertical="center"/>
    </xf>
    <xf numFmtId="3" fontId="3" fillId="0" borderId="27" xfId="0" applyNumberFormat="1" applyFont="1" applyBorder="1" applyAlignment="1">
      <alignment vertical="center"/>
    </xf>
    <xf numFmtId="3" fontId="3" fillId="0" borderId="26" xfId="0" applyNumberFormat="1" applyFont="1" applyBorder="1" applyAlignment="1">
      <alignment vertical="center"/>
    </xf>
    <xf numFmtId="0" fontId="0" fillId="0" borderId="26" xfId="0" applyBorder="1" applyAlignment="1">
      <alignment vertical="center"/>
    </xf>
    <xf numFmtId="167" fontId="3" fillId="0" borderId="1" xfId="0" applyNumberFormat="1" applyFont="1" applyBorder="1" applyAlignment="1">
      <alignment vertical="center"/>
    </xf>
    <xf numFmtId="0" fontId="13" fillId="0" borderId="0" xfId="0" applyFont="1" applyAlignment="1">
      <alignment vertical="center" wrapText="1"/>
    </xf>
    <xf numFmtId="167" fontId="3" fillId="0" borderId="22" xfId="0" applyNumberFormat="1" applyFont="1" applyBorder="1" applyAlignment="1">
      <alignment horizontal="right" vertical="center"/>
    </xf>
    <xf numFmtId="3" fontId="3" fillId="0" borderId="0" xfId="0" applyNumberFormat="1" applyFont="1" applyAlignment="1">
      <alignment vertical="center"/>
    </xf>
    <xf numFmtId="3" fontId="3" fillId="0" borderId="22" xfId="0" applyNumberFormat="1" applyFont="1" applyBorder="1" applyAlignment="1">
      <alignment vertical="center"/>
    </xf>
    <xf numFmtId="167" fontId="3" fillId="0" borderId="22" xfId="0" applyNumberFormat="1" applyFont="1" applyBorder="1" applyAlignment="1">
      <alignment vertical="center"/>
    </xf>
    <xf numFmtId="0" fontId="5" fillId="0" borderId="0" xfId="0" applyFont="1" applyAlignment="1">
      <alignment vertical="center" wrapText="1"/>
    </xf>
    <xf numFmtId="167" fontId="0" fillId="0" borderId="0" xfId="0" applyNumberFormat="1" applyAlignment="1">
      <alignment horizontal="right" vertical="center"/>
    </xf>
    <xf numFmtId="0" fontId="5" fillId="0" borderId="0" xfId="0" applyFont="1" applyAlignment="1">
      <alignment vertical="center"/>
    </xf>
    <xf numFmtId="167" fontId="3" fillId="0" borderId="0" xfId="0" applyNumberFormat="1" applyFont="1" applyAlignment="1">
      <alignment vertical="center"/>
    </xf>
    <xf numFmtId="0" fontId="5" fillId="0" borderId="8" xfId="0" applyFont="1" applyBorder="1" applyAlignment="1">
      <alignment vertical="center" wrapText="1"/>
    </xf>
    <xf numFmtId="0" fontId="2" fillId="0" borderId="26" xfId="0" applyFont="1" applyBorder="1" applyAlignment="1">
      <alignment vertical="center" wrapText="1"/>
    </xf>
    <xf numFmtId="167" fontId="0" fillId="0" borderId="1" xfId="0" applyNumberFormat="1" applyBorder="1" applyAlignment="1">
      <alignment horizontal="right" vertical="center"/>
    </xf>
    <xf numFmtId="167" fontId="3" fillId="0" borderId="0" xfId="0" applyNumberFormat="1" applyFont="1" applyAlignment="1">
      <alignment horizontal="right" vertical="center"/>
    </xf>
    <xf numFmtId="0" fontId="16" fillId="0" borderId="0" xfId="0" applyFont="1" applyAlignment="1">
      <alignment vertical="center"/>
    </xf>
    <xf numFmtId="167" fontId="3" fillId="0" borderId="25" xfId="0" applyNumberFormat="1" applyFont="1" applyBorder="1" applyAlignment="1">
      <alignment horizontal="right" vertical="center"/>
    </xf>
    <xf numFmtId="3" fontId="3" fillId="0" borderId="25" xfId="0" applyNumberFormat="1" applyFont="1" applyBorder="1" applyAlignment="1">
      <alignment vertical="center"/>
    </xf>
    <xf numFmtId="167" fontId="3" fillId="0" borderId="25" xfId="0" applyNumberFormat="1" applyFont="1" applyBorder="1" applyAlignment="1">
      <alignment vertical="center"/>
    </xf>
    <xf numFmtId="3" fontId="0" fillId="3" borderId="14" xfId="0" applyNumberFormat="1" applyFill="1" applyBorder="1" applyAlignment="1">
      <alignment vertical="center"/>
    </xf>
    <xf numFmtId="3" fontId="0" fillId="0" borderId="16" xfId="0" applyNumberFormat="1" applyBorder="1" applyAlignment="1">
      <alignment vertical="center"/>
    </xf>
    <xf numFmtId="3" fontId="0" fillId="0" borderId="0" xfId="0" applyNumberFormat="1" applyAlignment="1">
      <alignment vertical="center" wrapText="1"/>
    </xf>
    <xf numFmtId="3" fontId="0" fillId="3" borderId="17" xfId="0" applyNumberFormat="1" applyFill="1" applyBorder="1" applyAlignment="1">
      <alignment vertical="center"/>
    </xf>
    <xf numFmtId="3" fontId="0" fillId="0" borderId="18" xfId="0" applyNumberFormat="1" applyBorder="1" applyAlignment="1">
      <alignment vertical="center"/>
    </xf>
    <xf numFmtId="3" fontId="9" fillId="0" borderId="0" xfId="0" applyNumberFormat="1" applyFont="1" applyAlignment="1">
      <alignment horizontal="center" vertical="center"/>
    </xf>
    <xf numFmtId="3" fontId="9" fillId="0" borderId="0" xfId="0" applyNumberFormat="1" applyFont="1" applyAlignment="1">
      <alignment horizontal="center"/>
    </xf>
    <xf numFmtId="3" fontId="0" fillId="3" borderId="11" xfId="0" applyNumberFormat="1" applyFill="1" applyBorder="1" applyAlignment="1">
      <alignment vertical="center"/>
    </xf>
    <xf numFmtId="3" fontId="0" fillId="0" borderId="12" xfId="0" applyNumberFormat="1" applyBorder="1" applyAlignment="1">
      <alignment vertical="center"/>
    </xf>
    <xf numFmtId="3" fontId="0" fillId="4" borderId="12" xfId="0" applyNumberFormat="1" applyFill="1" applyBorder="1" applyAlignment="1">
      <alignment vertical="center"/>
    </xf>
    <xf numFmtId="3" fontId="0" fillId="0" borderId="13" xfId="0" applyNumberFormat="1" applyBorder="1" applyAlignment="1">
      <alignment vertical="center"/>
    </xf>
    <xf numFmtId="3" fontId="0" fillId="4" borderId="11" xfId="0" applyNumberFormat="1" applyFill="1" applyBorder="1" applyAlignment="1">
      <alignment vertical="center"/>
    </xf>
    <xf numFmtId="9" fontId="9" fillId="0" borderId="0" xfId="0" applyNumberFormat="1" applyFont="1" applyAlignment="1">
      <alignment horizontal="center" vertical="top"/>
    </xf>
    <xf numFmtId="0" fontId="0" fillId="0" borderId="46" xfId="0" applyBorder="1" applyAlignment="1">
      <alignment horizontal="centerContinuous" vertical="center"/>
    </xf>
    <xf numFmtId="0" fontId="0" fillId="0" borderId="44" xfId="0" applyBorder="1" applyAlignment="1">
      <alignment horizontal="centerContinuous" vertical="center"/>
    </xf>
    <xf numFmtId="0" fontId="3" fillId="5" borderId="2" xfId="0" applyFont="1" applyFill="1" applyBorder="1" applyAlignment="1">
      <alignment horizontal="center" vertical="center" wrapText="1"/>
    </xf>
    <xf numFmtId="0" fontId="3" fillId="5" borderId="22" xfId="0" applyFont="1" applyFill="1" applyBorder="1" applyAlignment="1">
      <alignment horizontal="centerContinuous" vertical="center" wrapText="1"/>
    </xf>
    <xf numFmtId="0" fontId="12" fillId="5" borderId="22" xfId="0" applyFont="1" applyFill="1" applyBorder="1" applyAlignment="1">
      <alignment horizontal="centerContinuous" vertical="center"/>
    </xf>
    <xf numFmtId="49" fontId="11" fillId="0" borderId="0" xfId="0" applyNumberFormat="1" applyFont="1" applyAlignment="1">
      <alignment vertical="center"/>
    </xf>
    <xf numFmtId="0" fontId="6" fillId="5" borderId="2" xfId="0" applyFont="1" applyFill="1" applyBorder="1" applyAlignment="1">
      <alignment horizontal="center" vertical="center"/>
    </xf>
    <xf numFmtId="0" fontId="6" fillId="5" borderId="2" xfId="0" applyFont="1" applyFill="1" applyBorder="1" applyAlignment="1">
      <alignment vertical="center" wrapText="1"/>
    </xf>
    <xf numFmtId="0" fontId="7" fillId="5" borderId="2"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9" xfId="0" applyFont="1" applyFill="1" applyBorder="1" applyAlignment="1">
      <alignment vertical="center" wrapText="1"/>
    </xf>
    <xf numFmtId="0" fontId="7" fillId="5" borderId="9" xfId="0" applyFont="1" applyFill="1" applyBorder="1" applyAlignment="1">
      <alignment horizontal="center" vertical="center" wrapText="1"/>
    </xf>
    <xf numFmtId="3" fontId="0" fillId="3" borderId="2" xfId="0" applyNumberFormat="1" applyFill="1" applyBorder="1" applyAlignment="1">
      <alignment vertical="center"/>
    </xf>
    <xf numFmtId="3" fontId="0" fillId="3" borderId="9" xfId="0" applyNumberFormat="1" applyFill="1" applyBorder="1" applyAlignment="1">
      <alignment vertical="center"/>
    </xf>
    <xf numFmtId="3" fontId="0" fillId="0" borderId="9" xfId="0" applyNumberFormat="1" applyBorder="1" applyAlignment="1">
      <alignment vertical="center"/>
    </xf>
    <xf numFmtId="3" fontId="0" fillId="4" borderId="9" xfId="0" applyNumberFormat="1" applyFill="1" applyBorder="1" applyAlignment="1">
      <alignment vertical="center"/>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0" fillId="7" borderId="5" xfId="0" applyFont="1" applyFill="1" applyBorder="1" applyAlignment="1">
      <alignment horizontal="center"/>
    </xf>
    <xf numFmtId="0" fontId="0" fillId="0" borderId="1" xfId="0" applyBorder="1" applyAlignment="1" applyProtection="1">
      <alignment horizontal="left" vertical="center" wrapText="1"/>
      <protection locked="0"/>
    </xf>
    <xf numFmtId="165" fontId="0" fillId="0" borderId="1" xfId="0" applyNumberFormat="1" applyBorder="1" applyAlignment="1" applyProtection="1">
      <alignment horizontal="center" vertical="center"/>
      <protection locked="0"/>
    </xf>
    <xf numFmtId="3" fontId="0" fillId="0" borderId="1" xfId="0" applyNumberFormat="1" applyBorder="1" applyAlignment="1" applyProtection="1">
      <alignment vertical="center"/>
      <protection locked="0"/>
    </xf>
    <xf numFmtId="1" fontId="7" fillId="5" borderId="9" xfId="1" applyNumberFormat="1" applyFont="1" applyFill="1" applyBorder="1" applyAlignment="1">
      <alignment horizontal="center" vertical="center"/>
    </xf>
    <xf numFmtId="0" fontId="0" fillId="0" borderId="48" xfId="0" applyBorder="1" applyAlignment="1">
      <alignment vertical="center"/>
    </xf>
    <xf numFmtId="0" fontId="0" fillId="0" borderId="48" xfId="0" applyBorder="1" applyAlignment="1">
      <alignment horizontal="center" vertical="center"/>
    </xf>
    <xf numFmtId="3" fontId="0" fillId="3" borderId="48" xfId="0" applyNumberFormat="1" applyFill="1" applyBorder="1" applyAlignment="1">
      <alignment vertical="center"/>
    </xf>
    <xf numFmtId="0" fontId="3" fillId="5" borderId="27" xfId="0" applyFont="1" applyFill="1" applyBorder="1" applyAlignment="1">
      <alignment horizontal="center" vertical="center" wrapText="1"/>
    </xf>
    <xf numFmtId="3" fontId="3" fillId="9" borderId="1" xfId="0" applyNumberFormat="1" applyFont="1" applyFill="1" applyBorder="1" applyAlignment="1">
      <alignment vertical="center"/>
    </xf>
    <xf numFmtId="1" fontId="3" fillId="0" borderId="1" xfId="0" applyNumberFormat="1" applyFont="1" applyBorder="1" applyAlignment="1">
      <alignment horizontal="center" vertical="center"/>
    </xf>
    <xf numFmtId="0" fontId="21" fillId="0" borderId="0" xfId="0" applyFont="1" applyAlignment="1">
      <alignment horizontal="center" vertical="center"/>
    </xf>
    <xf numFmtId="1" fontId="13" fillId="5" borderId="2" xfId="1" applyNumberFormat="1" applyFont="1" applyFill="1" applyBorder="1" applyAlignment="1">
      <alignment horizontal="center" vertical="center"/>
    </xf>
    <xf numFmtId="1" fontId="13" fillId="5" borderId="9" xfId="1" applyNumberFormat="1" applyFont="1" applyFill="1" applyBorder="1" applyAlignment="1">
      <alignment horizontal="center" vertical="center"/>
    </xf>
    <xf numFmtId="0" fontId="21" fillId="5" borderId="1" xfId="0" applyFont="1" applyFill="1" applyBorder="1" applyAlignment="1">
      <alignment horizontal="center" vertical="center"/>
    </xf>
    <xf numFmtId="1" fontId="3" fillId="0" borderId="9" xfId="0" applyNumberFormat="1" applyFont="1" applyBorder="1" applyAlignment="1">
      <alignment horizontal="center" vertical="center"/>
    </xf>
    <xf numFmtId="3" fontId="3" fillId="9" borderId="9" xfId="0" applyNumberFormat="1" applyFont="1" applyFill="1" applyBorder="1" applyAlignment="1">
      <alignment vertical="center"/>
    </xf>
    <xf numFmtId="1" fontId="10" fillId="5" borderId="1" xfId="1" applyNumberFormat="1" applyFont="1" applyFill="1" applyBorder="1" applyAlignment="1">
      <alignment horizontal="center" vertical="center"/>
    </xf>
    <xf numFmtId="0" fontId="21" fillId="5" borderId="51" xfId="0" applyFont="1" applyFill="1" applyBorder="1" applyAlignment="1">
      <alignment horizontal="center" vertical="center"/>
    </xf>
    <xf numFmtId="0" fontId="21" fillId="5" borderId="52" xfId="0" applyFont="1" applyFill="1" applyBorder="1" applyAlignment="1">
      <alignment horizontal="center" vertical="center"/>
    </xf>
    <xf numFmtId="0" fontId="21" fillId="5" borderId="53" xfId="0" applyFont="1" applyFill="1" applyBorder="1" applyAlignment="1">
      <alignment horizontal="center" vertical="center"/>
    </xf>
    <xf numFmtId="49" fontId="0" fillId="0" borderId="56" xfId="0" applyNumberFormat="1" applyBorder="1" applyAlignment="1" applyProtection="1">
      <alignment horizontal="center" vertical="center"/>
      <protection locked="0"/>
    </xf>
    <xf numFmtId="0" fontId="0" fillId="0" borderId="51" xfId="0" applyBorder="1" applyAlignment="1" applyProtection="1">
      <alignment vertical="center"/>
      <protection locked="0"/>
    </xf>
    <xf numFmtId="14" fontId="0" fillId="0" borderId="52" xfId="0" applyNumberFormat="1" applyBorder="1" applyAlignment="1" applyProtection="1">
      <alignment horizontal="center" vertical="center"/>
      <protection locked="0"/>
    </xf>
    <xf numFmtId="49" fontId="0" fillId="0" borderId="53" xfId="0" applyNumberForma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3" fontId="3" fillId="9" borderId="2" xfId="0" applyNumberFormat="1" applyFont="1" applyFill="1" applyBorder="1" applyAlignment="1">
      <alignment vertical="center"/>
    </xf>
    <xf numFmtId="3" fontId="3" fillId="9" borderId="48" xfId="0" applyNumberFormat="1" applyFont="1" applyFill="1" applyBorder="1" applyAlignment="1">
      <alignment vertical="center"/>
    </xf>
    <xf numFmtId="3" fontId="0" fillId="5" borderId="0" xfId="0" applyNumberFormat="1" applyFill="1" applyAlignment="1">
      <alignment vertical="center"/>
    </xf>
    <xf numFmtId="3" fontId="0" fillId="0" borderId="51" xfId="0" applyNumberFormat="1" applyBorder="1" applyAlignment="1" applyProtection="1">
      <alignment vertical="center"/>
      <protection locked="0"/>
    </xf>
    <xf numFmtId="3" fontId="0" fillId="0" borderId="58" xfId="0" applyNumberFormat="1" applyBorder="1" applyAlignment="1" applyProtection="1">
      <alignment vertical="center"/>
      <protection locked="0"/>
    </xf>
    <xf numFmtId="3" fontId="0" fillId="0" borderId="52" xfId="0" applyNumberFormat="1" applyBorder="1" applyAlignment="1" applyProtection="1">
      <alignment vertical="center"/>
      <protection locked="0"/>
    </xf>
    <xf numFmtId="3" fontId="0" fillId="0" borderId="59" xfId="0" applyNumberFormat="1" applyBorder="1" applyAlignment="1" applyProtection="1">
      <alignment vertical="center"/>
      <protection locked="0"/>
    </xf>
    <xf numFmtId="3" fontId="3" fillId="5" borderId="61" xfId="0" applyNumberFormat="1" applyFont="1" applyFill="1" applyBorder="1" applyAlignment="1">
      <alignment vertical="center"/>
    </xf>
    <xf numFmtId="3" fontId="3" fillId="5" borderId="62" xfId="0" applyNumberFormat="1" applyFont="1" applyFill="1" applyBorder="1" applyAlignment="1">
      <alignment vertical="center"/>
    </xf>
    <xf numFmtId="1" fontId="13" fillId="5" borderId="59" xfId="1" applyNumberFormat="1" applyFont="1" applyFill="1" applyBorder="1" applyAlignment="1">
      <alignment horizontal="center" vertical="center"/>
    </xf>
    <xf numFmtId="1" fontId="13" fillId="5" borderId="58" xfId="1" applyNumberFormat="1" applyFont="1" applyFill="1" applyBorder="1" applyAlignment="1">
      <alignment horizontal="center" vertical="center"/>
    </xf>
    <xf numFmtId="0" fontId="3" fillId="5" borderId="63" xfId="0" applyFont="1" applyFill="1" applyBorder="1" applyAlignment="1">
      <alignment horizontal="center" vertical="center" wrapText="1"/>
    </xf>
    <xf numFmtId="0" fontId="3" fillId="5" borderId="64" xfId="0" applyFont="1" applyFill="1" applyBorder="1" applyAlignment="1">
      <alignment horizontal="center" vertical="center" wrapText="1"/>
    </xf>
    <xf numFmtId="1" fontId="13" fillId="5" borderId="54" xfId="1" applyNumberFormat="1" applyFont="1" applyFill="1" applyBorder="1" applyAlignment="1">
      <alignment horizontal="center" vertical="center"/>
    </xf>
    <xf numFmtId="1" fontId="13" fillId="5" borderId="55" xfId="1" applyNumberFormat="1" applyFont="1" applyFill="1" applyBorder="1" applyAlignment="1">
      <alignment horizontal="center" vertical="center"/>
    </xf>
    <xf numFmtId="1" fontId="10" fillId="5" borderId="51" xfId="1" applyNumberFormat="1" applyFont="1" applyFill="1" applyBorder="1" applyAlignment="1">
      <alignment horizontal="center" vertical="center"/>
    </xf>
    <xf numFmtId="1" fontId="10" fillId="5" borderId="52" xfId="1" applyNumberFormat="1" applyFont="1" applyFill="1" applyBorder="1" applyAlignment="1">
      <alignment horizontal="center" vertical="center"/>
    </xf>
    <xf numFmtId="1" fontId="10" fillId="5" borderId="53" xfId="1" applyNumberFormat="1" applyFont="1" applyFill="1" applyBorder="1" applyAlignment="1">
      <alignment horizontal="center" vertical="center"/>
    </xf>
    <xf numFmtId="14" fontId="0" fillId="0" borderId="55" xfId="0" applyNumberFormat="1" applyBorder="1" applyAlignment="1">
      <alignment horizontal="center" vertical="center"/>
    </xf>
    <xf numFmtId="0" fontId="0" fillId="0" borderId="54" xfId="0" applyBorder="1" applyAlignment="1">
      <alignment vertical="center"/>
    </xf>
    <xf numFmtId="0" fontId="5" fillId="5" borderId="2" xfId="0" applyFont="1" applyFill="1" applyBorder="1" applyAlignment="1">
      <alignment horizontal="center" wrapText="1"/>
    </xf>
    <xf numFmtId="0" fontId="5" fillId="5" borderId="9" xfId="0" applyFont="1" applyFill="1" applyBorder="1" applyAlignment="1">
      <alignment horizontal="center" wrapText="1"/>
    </xf>
    <xf numFmtId="0" fontId="0" fillId="0" borderId="0" xfId="0" applyAlignment="1">
      <alignment horizontal="left" vertical="center"/>
    </xf>
    <xf numFmtId="0" fontId="6" fillId="5" borderId="2" xfId="0" applyFont="1" applyFill="1" applyBorder="1" applyAlignment="1">
      <alignment horizontal="center" vertical="center" wrapText="1"/>
    </xf>
    <xf numFmtId="49" fontId="0" fillId="0" borderId="1" xfId="0" applyNumberFormat="1" applyBorder="1" applyAlignment="1" applyProtection="1">
      <alignment vertical="center" wrapText="1"/>
      <protection locked="0"/>
    </xf>
    <xf numFmtId="49" fontId="0" fillId="0" borderId="2" xfId="0" applyNumberFormat="1" applyBorder="1" applyAlignment="1" applyProtection="1">
      <alignment vertical="center" wrapText="1"/>
      <protection locked="0"/>
    </xf>
    <xf numFmtId="0" fontId="0" fillId="0" borderId="30" xfId="0" applyBorder="1" applyAlignment="1">
      <alignment vertical="center"/>
    </xf>
    <xf numFmtId="0" fontId="0" fillId="0" borderId="33" xfId="0" applyBorder="1" applyAlignment="1">
      <alignment vertical="center"/>
    </xf>
    <xf numFmtId="3" fontId="0" fillId="3" borderId="32" xfId="0" applyNumberFormat="1" applyFill="1" applyBorder="1" applyAlignment="1">
      <alignment vertical="center"/>
    </xf>
    <xf numFmtId="49" fontId="0" fillId="5" borderId="28" xfId="0" applyNumberFormat="1" applyFill="1" applyBorder="1" applyAlignment="1">
      <alignment vertical="center"/>
    </xf>
    <xf numFmtId="0" fontId="0" fillId="5" borderId="66" xfId="0" applyFill="1" applyBorder="1" applyAlignment="1">
      <alignment vertical="center"/>
    </xf>
    <xf numFmtId="0" fontId="0" fillId="5" borderId="29" xfId="0" applyFill="1" applyBorder="1" applyAlignment="1">
      <alignment horizontal="center" vertical="center"/>
    </xf>
    <xf numFmtId="3" fontId="0" fillId="3" borderId="13" xfId="0" applyNumberFormat="1" applyFill="1" applyBorder="1" applyAlignment="1">
      <alignment vertical="center"/>
    </xf>
    <xf numFmtId="0" fontId="6" fillId="5" borderId="59" xfId="0" applyFont="1" applyFill="1" applyBorder="1" applyAlignment="1">
      <alignment horizontal="center" vertical="center" wrapText="1"/>
    </xf>
    <xf numFmtId="0" fontId="6" fillId="5" borderId="58" xfId="0" applyFont="1" applyFill="1" applyBorder="1" applyAlignment="1">
      <alignment horizontal="center" vertical="center" wrapText="1"/>
    </xf>
    <xf numFmtId="164" fontId="7" fillId="5" borderId="54" xfId="1" applyNumberFormat="1" applyFont="1" applyFill="1" applyBorder="1" applyAlignment="1">
      <alignment horizontal="center" vertical="center"/>
    </xf>
    <xf numFmtId="1" fontId="7" fillId="5" borderId="55" xfId="1" applyNumberFormat="1" applyFont="1" applyFill="1" applyBorder="1" applyAlignment="1">
      <alignment horizontal="center" vertical="center"/>
    </xf>
    <xf numFmtId="49" fontId="10" fillId="5" borderId="54" xfId="1" applyNumberFormat="1" applyFont="1" applyFill="1" applyBorder="1" applyAlignment="1">
      <alignment horizontal="center" vertical="center"/>
    </xf>
    <xf numFmtId="49" fontId="10" fillId="5" borderId="55" xfId="1" applyNumberFormat="1" applyFont="1" applyFill="1" applyBorder="1" applyAlignment="1">
      <alignment horizontal="center" vertical="center"/>
    </xf>
    <xf numFmtId="49" fontId="10" fillId="5" borderId="56" xfId="1" applyNumberFormat="1" applyFont="1" applyFill="1" applyBorder="1" applyAlignment="1">
      <alignment horizontal="center" vertical="center"/>
    </xf>
    <xf numFmtId="3" fontId="0" fillId="0" borderId="70" xfId="0" applyNumberFormat="1" applyBorder="1" applyAlignment="1">
      <alignment vertical="center"/>
    </xf>
    <xf numFmtId="3" fontId="0" fillId="0" borderId="71" xfId="0" applyNumberFormat="1" applyBorder="1" applyAlignment="1">
      <alignment vertical="center"/>
    </xf>
    <xf numFmtId="3" fontId="0" fillId="0" borderId="72" xfId="0" applyNumberFormat="1" applyBorder="1" applyAlignment="1">
      <alignment vertical="center"/>
    </xf>
    <xf numFmtId="3" fontId="0" fillId="5" borderId="73" xfId="0" applyNumberFormat="1" applyFill="1" applyBorder="1" applyAlignment="1">
      <alignment vertical="center"/>
    </xf>
    <xf numFmtId="3" fontId="0" fillId="5" borderId="74" xfId="0" applyNumberFormat="1" applyFill="1" applyBorder="1" applyAlignment="1">
      <alignment vertical="center"/>
    </xf>
    <xf numFmtId="3" fontId="0" fillId="5" borderId="75" xfId="0" applyNumberFormat="1" applyFill="1" applyBorder="1" applyAlignment="1">
      <alignment vertical="center"/>
    </xf>
    <xf numFmtId="49" fontId="0" fillId="0" borderId="23" xfId="0" applyNumberFormat="1" applyBorder="1" applyAlignment="1">
      <alignment vertical="center" wrapText="1"/>
    </xf>
    <xf numFmtId="0" fontId="18" fillId="0" borderId="22" xfId="1" applyFont="1" applyBorder="1" applyAlignment="1">
      <alignment horizontal="left" vertical="center"/>
    </xf>
    <xf numFmtId="3" fontId="0" fillId="3" borderId="38" xfId="0" applyNumberFormat="1" applyFill="1" applyBorder="1" applyAlignment="1">
      <alignment vertical="center"/>
    </xf>
    <xf numFmtId="3" fontId="0" fillId="0" borderId="39" xfId="0" applyNumberFormat="1" applyBorder="1" applyAlignment="1">
      <alignment vertical="center"/>
    </xf>
    <xf numFmtId="0" fontId="5" fillId="5" borderId="76" xfId="0" applyFont="1" applyFill="1" applyBorder="1" applyAlignment="1">
      <alignment horizontal="center" wrapText="1"/>
    </xf>
    <xf numFmtId="0" fontId="5" fillId="5" borderId="58" xfId="0" applyFont="1" applyFill="1" applyBorder="1" applyAlignment="1">
      <alignment horizontal="center" wrapText="1"/>
    </xf>
    <xf numFmtId="14" fontId="6" fillId="5" borderId="77" xfId="0" applyNumberFormat="1" applyFont="1" applyFill="1" applyBorder="1" applyAlignment="1">
      <alignment horizontal="center" wrapText="1"/>
    </xf>
    <xf numFmtId="0" fontId="5" fillId="5" borderId="55" xfId="0" applyFont="1" applyFill="1" applyBorder="1" applyAlignment="1">
      <alignment horizontal="center" wrapText="1"/>
    </xf>
    <xf numFmtId="3" fontId="0" fillId="0" borderId="78" xfId="0" applyNumberFormat="1" applyBorder="1" applyAlignment="1">
      <alignment vertical="center"/>
    </xf>
    <xf numFmtId="170" fontId="0" fillId="0" borderId="52" xfId="0" applyNumberFormat="1" applyBorder="1" applyAlignment="1">
      <alignment vertical="center"/>
    </xf>
    <xf numFmtId="169" fontId="0" fillId="0" borderId="52" xfId="0" applyNumberFormat="1" applyBorder="1" applyAlignment="1">
      <alignment vertical="center"/>
    </xf>
    <xf numFmtId="0" fontId="5" fillId="5" borderId="80" xfId="0" applyFont="1" applyFill="1" applyBorder="1" applyAlignment="1">
      <alignment horizontal="center" wrapText="1"/>
    </xf>
    <xf numFmtId="0" fontId="5" fillId="5" borderId="81" xfId="0" applyFont="1" applyFill="1" applyBorder="1" applyAlignment="1">
      <alignment horizontal="center" vertical="center" wrapText="1"/>
    </xf>
    <xf numFmtId="49" fontId="10" fillId="5" borderId="81" xfId="1" applyNumberFormat="1" applyFont="1" applyFill="1" applyBorder="1" applyAlignment="1">
      <alignment horizontal="center" vertical="center"/>
    </xf>
    <xf numFmtId="169" fontId="0" fillId="0" borderId="82" xfId="0" applyNumberFormat="1" applyBorder="1" applyAlignment="1">
      <alignment vertical="center"/>
    </xf>
    <xf numFmtId="0" fontId="3" fillId="5" borderId="59" xfId="0" applyFont="1" applyFill="1" applyBorder="1" applyAlignment="1">
      <alignment horizontal="center" vertical="center" wrapText="1"/>
    </xf>
    <xf numFmtId="0" fontId="3" fillId="5" borderId="58" xfId="0" applyFont="1" applyFill="1" applyBorder="1" applyAlignment="1">
      <alignment horizontal="center" vertical="center" wrapText="1"/>
    </xf>
    <xf numFmtId="3" fontId="0" fillId="0" borderId="60" xfId="0" applyNumberFormat="1" applyBorder="1" applyAlignment="1">
      <alignment vertical="center"/>
    </xf>
    <xf numFmtId="3" fontId="0" fillId="0" borderId="61" xfId="0" applyNumberFormat="1" applyBorder="1" applyAlignment="1">
      <alignment vertical="center"/>
    </xf>
    <xf numFmtId="3" fontId="0" fillId="0" borderId="62" xfId="0" applyNumberFormat="1" applyBorder="1" applyAlignment="1">
      <alignment vertical="center"/>
    </xf>
    <xf numFmtId="3" fontId="0" fillId="0" borderId="51" xfId="0" applyNumberFormat="1" applyBorder="1" applyAlignment="1">
      <alignment vertical="center"/>
    </xf>
    <xf numFmtId="3" fontId="0" fillId="0" borderId="52" xfId="0" applyNumberFormat="1" applyBorder="1" applyAlignment="1">
      <alignment vertical="center"/>
    </xf>
    <xf numFmtId="3" fontId="0" fillId="0" borderId="53" xfId="0" applyNumberFormat="1" applyBorder="1" applyAlignment="1">
      <alignment vertical="center"/>
    </xf>
    <xf numFmtId="0" fontId="8" fillId="0" borderId="0" xfId="0" applyFont="1" applyAlignment="1">
      <alignment horizontal="left"/>
    </xf>
    <xf numFmtId="3" fontId="5" fillId="0" borderId="0" xfId="0" applyNumberFormat="1" applyFont="1" applyAlignment="1">
      <alignment horizontal="center"/>
    </xf>
    <xf numFmtId="3" fontId="22" fillId="0" borderId="27" xfId="0" applyNumberFormat="1" applyFont="1" applyBorder="1" applyAlignment="1">
      <alignment vertical="center"/>
    </xf>
    <xf numFmtId="3" fontId="23" fillId="0" borderId="1" xfId="0" applyNumberFormat="1" applyFont="1" applyBorder="1" applyAlignment="1">
      <alignment vertical="center"/>
    </xf>
    <xf numFmtId="3" fontId="24" fillId="4" borderId="27" xfId="0" applyNumberFormat="1" applyFont="1" applyFill="1" applyBorder="1" applyAlignment="1">
      <alignment vertical="center"/>
    </xf>
    <xf numFmtId="3" fontId="0" fillId="3" borderId="10" xfId="0" applyNumberFormat="1" applyFill="1" applyBorder="1" applyAlignment="1">
      <alignment vertical="center"/>
    </xf>
    <xf numFmtId="10" fontId="19" fillId="0" borderId="0" xfId="0" applyNumberFormat="1" applyFont="1" applyAlignment="1">
      <alignment horizontal="center" vertical="center" wrapText="1"/>
    </xf>
    <xf numFmtId="3" fontId="0" fillId="0" borderId="54" xfId="0" applyNumberFormat="1" applyBorder="1" applyAlignment="1" applyProtection="1">
      <alignment vertical="center"/>
      <protection locked="0"/>
    </xf>
    <xf numFmtId="3" fontId="0" fillId="0" borderId="55" xfId="0" applyNumberFormat="1" applyBorder="1" applyAlignment="1" applyProtection="1">
      <alignment vertical="center"/>
      <protection locked="0"/>
    </xf>
    <xf numFmtId="1" fontId="3" fillId="10" borderId="1" xfId="0" applyNumberFormat="1" applyFont="1" applyFill="1" applyBorder="1" applyAlignment="1">
      <alignment horizontal="center" vertical="center"/>
    </xf>
    <xf numFmtId="1" fontId="0" fillId="0" borderId="0" xfId="0" applyNumberFormat="1" applyAlignment="1">
      <alignment vertical="center" wrapText="1"/>
    </xf>
    <xf numFmtId="0" fontId="15" fillId="0" borderId="85" xfId="0" applyFont="1" applyBorder="1" applyAlignment="1">
      <alignment vertical="center"/>
    </xf>
    <xf numFmtId="0" fontId="8" fillId="8" borderId="86" xfId="0" applyFont="1" applyFill="1" applyBorder="1" applyAlignment="1" applyProtection="1">
      <alignment vertical="center"/>
      <protection locked="0"/>
    </xf>
    <xf numFmtId="0" fontId="25" fillId="0" borderId="87" xfId="0" applyFont="1" applyBorder="1" applyAlignment="1">
      <alignment vertical="center"/>
    </xf>
    <xf numFmtId="14" fontId="15" fillId="8" borderId="88" xfId="0" applyNumberFormat="1" applyFont="1" applyFill="1" applyBorder="1" applyAlignment="1" applyProtection="1">
      <alignment horizontal="left" vertical="center" wrapText="1"/>
      <protection locked="0"/>
    </xf>
    <xf numFmtId="0" fontId="15" fillId="0" borderId="87" xfId="0" applyFont="1" applyBorder="1" applyAlignment="1">
      <alignment vertical="center"/>
    </xf>
    <xf numFmtId="0" fontId="15" fillId="0" borderId="91" xfId="0" applyFont="1" applyBorder="1" applyAlignment="1">
      <alignment vertical="center"/>
    </xf>
    <xf numFmtId="0" fontId="8" fillId="8" borderId="86" xfId="0" applyFont="1" applyFill="1" applyBorder="1" applyAlignment="1" applyProtection="1">
      <alignment horizontal="left" vertical="center" wrapText="1"/>
      <protection locked="0"/>
    </xf>
    <xf numFmtId="0" fontId="0" fillId="0" borderId="88" xfId="0" applyBorder="1" applyAlignment="1">
      <alignment horizontal="left" vertical="center" wrapText="1"/>
    </xf>
    <xf numFmtId="0" fontId="15" fillId="0" borderId="85" xfId="0" applyFont="1" applyBorder="1" applyAlignment="1">
      <alignment vertical="center" wrapText="1"/>
    </xf>
    <xf numFmtId="0" fontId="15" fillId="0" borderId="89" xfId="0" applyFont="1" applyBorder="1" applyAlignment="1">
      <alignment vertical="center" wrapText="1"/>
    </xf>
    <xf numFmtId="0" fontId="15" fillId="0" borderId="87" xfId="0" applyFont="1" applyBorder="1" applyAlignment="1">
      <alignment vertical="center" wrapText="1"/>
    </xf>
    <xf numFmtId="0" fontId="29" fillId="11" borderId="0" xfId="0" applyFont="1" applyFill="1"/>
    <xf numFmtId="0" fontId="0" fillId="11" borderId="0" xfId="0" applyFill="1"/>
    <xf numFmtId="0" fontId="0" fillId="0" borderId="44" xfId="0" applyBorder="1" applyAlignment="1">
      <alignment horizontal="centerContinuous" wrapText="1"/>
    </xf>
    <xf numFmtId="0" fontId="20" fillId="7" borderId="38" xfId="0" applyFont="1" applyFill="1" applyBorder="1" applyAlignment="1">
      <alignment horizontal="center"/>
    </xf>
    <xf numFmtId="3" fontId="0" fillId="0" borderId="17" xfId="0" applyNumberFormat="1" applyBorder="1" applyAlignment="1" applyProtection="1">
      <alignment vertical="center"/>
      <protection locked="0"/>
    </xf>
    <xf numFmtId="0" fontId="20" fillId="7" borderId="6" xfId="0" applyFont="1" applyFill="1" applyBorder="1" applyAlignment="1">
      <alignment horizontal="center"/>
    </xf>
    <xf numFmtId="3" fontId="0" fillId="0" borderId="7" xfId="0" applyNumberFormat="1" applyBorder="1" applyAlignment="1" applyProtection="1">
      <alignment vertical="center"/>
      <protection locked="0"/>
    </xf>
    <xf numFmtId="0" fontId="0" fillId="5" borderId="37" xfId="0" applyFill="1" applyBorder="1" applyAlignment="1">
      <alignment horizontal="center" vertical="center" wrapText="1"/>
    </xf>
    <xf numFmtId="0" fontId="0" fillId="5" borderId="39" xfId="0" applyFill="1" applyBorder="1" applyAlignment="1">
      <alignment horizontal="center" vertical="center"/>
    </xf>
    <xf numFmtId="0" fontId="20" fillId="7" borderId="39" xfId="0" applyFont="1" applyFill="1" applyBorder="1" applyAlignment="1">
      <alignment horizontal="center"/>
    </xf>
    <xf numFmtId="0" fontId="0" fillId="0" borderId="8" xfId="0" applyBorder="1" applyAlignment="1" applyProtection="1">
      <alignment vertical="center"/>
      <protection locked="0"/>
    </xf>
    <xf numFmtId="0" fontId="0" fillId="0" borderId="17" xfId="0" applyBorder="1" applyAlignment="1" applyProtection="1">
      <alignment horizontal="center" vertical="center"/>
      <protection locked="0"/>
    </xf>
    <xf numFmtId="165" fontId="0" fillId="0" borderId="18" xfId="0" applyNumberFormat="1" applyBorder="1" applyAlignment="1" applyProtection="1">
      <alignment horizontal="center" vertical="center"/>
      <protection locked="0"/>
    </xf>
    <xf numFmtId="3" fontId="0" fillId="0" borderId="14" xfId="0" applyNumberFormat="1" applyBorder="1"/>
    <xf numFmtId="3" fontId="0" fillId="0" borderId="15" xfId="0" applyNumberFormat="1" applyBorder="1"/>
    <xf numFmtId="0" fontId="0" fillId="0" borderId="46" xfId="0" applyBorder="1" applyAlignment="1">
      <alignment horizontal="centerContinuous" wrapText="1"/>
    </xf>
    <xf numFmtId="0" fontId="0" fillId="0" borderId="94" xfId="0" applyBorder="1" applyAlignment="1">
      <alignment wrapText="1"/>
    </xf>
    <xf numFmtId="0" fontId="5" fillId="7" borderId="95" xfId="0" applyFont="1" applyFill="1" applyBorder="1" applyAlignment="1">
      <alignment horizontal="center" wrapText="1"/>
    </xf>
    <xf numFmtId="14" fontId="6" fillId="7" borderId="93" xfId="0" applyNumberFormat="1" applyFont="1" applyFill="1" applyBorder="1" applyAlignment="1">
      <alignment horizontal="center" wrapText="1"/>
    </xf>
    <xf numFmtId="0" fontId="5" fillId="7" borderId="36"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4" xfId="0" applyBorder="1" applyAlignment="1" applyProtection="1">
      <alignment vertical="center"/>
      <protection locked="0"/>
    </xf>
    <xf numFmtId="0" fontId="0" fillId="0" borderId="36" xfId="0"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165" fontId="0" fillId="0" borderId="37" xfId="0" applyNumberFormat="1" applyBorder="1" applyAlignment="1" applyProtection="1">
      <alignment horizontal="center" vertical="center"/>
      <protection locked="0"/>
    </xf>
    <xf numFmtId="3" fontId="0" fillId="0" borderId="36" xfId="0" applyNumberFormat="1" applyBorder="1" applyAlignment="1" applyProtection="1">
      <alignment vertical="center"/>
      <protection locked="0"/>
    </xf>
    <xf numFmtId="3" fontId="0" fillId="0" borderId="3" xfId="0" applyNumberFormat="1" applyBorder="1" applyAlignment="1" applyProtection="1">
      <alignment vertical="center"/>
      <protection locked="0"/>
    </xf>
    <xf numFmtId="3" fontId="0" fillId="0" borderId="2" xfId="0" applyNumberFormat="1" applyBorder="1" applyAlignment="1" applyProtection="1">
      <alignment vertical="center"/>
      <protection locked="0"/>
    </xf>
    <xf numFmtId="0" fontId="0" fillId="0" borderId="97" xfId="0" applyBorder="1"/>
    <xf numFmtId="3" fontId="0" fillId="0" borderId="98" xfId="0" applyNumberFormat="1" applyBorder="1"/>
    <xf numFmtId="3" fontId="0" fillId="3" borderId="15" xfId="0" applyNumberFormat="1" applyFill="1" applyBorder="1"/>
    <xf numFmtId="0" fontId="27" fillId="0" borderId="0" xfId="0" applyFont="1"/>
    <xf numFmtId="0" fontId="13" fillId="0" borderId="0" xfId="0" applyFont="1"/>
    <xf numFmtId="0" fontId="0" fillId="11" borderId="0" xfId="0" applyFill="1" applyAlignment="1">
      <alignment vertical="center"/>
    </xf>
    <xf numFmtId="0" fontId="8" fillId="0" borderId="22" xfId="0" applyFont="1" applyBorder="1" applyAlignment="1">
      <alignment vertical="center"/>
    </xf>
    <xf numFmtId="0" fontId="8" fillId="0" borderId="22" xfId="0" applyFont="1" applyBorder="1" applyAlignment="1">
      <alignment horizontal="right" vertical="center"/>
    </xf>
    <xf numFmtId="0" fontId="18" fillId="0" borderId="22" xfId="0" applyFont="1" applyBorder="1" applyAlignment="1">
      <alignment horizontal="left" vertical="center"/>
    </xf>
    <xf numFmtId="14" fontId="15" fillId="0" borderId="86" xfId="0" applyNumberFormat="1" applyFont="1" applyBorder="1" applyAlignment="1" applyProtection="1">
      <alignment horizontal="left" vertical="center"/>
      <protection locked="0"/>
    </xf>
    <xf numFmtId="167" fontId="15" fillId="0" borderId="90" xfId="0" applyNumberFormat="1" applyFont="1" applyBorder="1" applyAlignment="1" applyProtection="1">
      <alignment horizontal="left" vertical="center"/>
      <protection locked="0"/>
    </xf>
    <xf numFmtId="0" fontId="28" fillId="0" borderId="0" xfId="0" applyFont="1" applyAlignment="1">
      <alignment vertical="center"/>
    </xf>
    <xf numFmtId="14" fontId="15" fillId="0" borderId="86" xfId="0" applyNumberFormat="1" applyFont="1" applyBorder="1" applyAlignment="1" applyProtection="1">
      <alignment horizontal="left" vertical="center" wrapText="1"/>
      <protection locked="0"/>
    </xf>
    <xf numFmtId="14" fontId="15" fillId="0" borderId="92" xfId="0" applyNumberFormat="1" applyFont="1" applyBorder="1" applyAlignment="1" applyProtection="1">
      <alignment horizontal="left" vertical="center" wrapText="1"/>
      <protection locked="0"/>
    </xf>
    <xf numFmtId="0" fontId="15" fillId="0" borderId="90" xfId="0" applyFont="1" applyBorder="1" applyAlignment="1" applyProtection="1">
      <alignment vertical="center"/>
      <protection locked="0"/>
    </xf>
    <xf numFmtId="49" fontId="15" fillId="0" borderId="86" xfId="0" applyNumberFormat="1" applyFont="1" applyBorder="1" applyAlignment="1" applyProtection="1">
      <alignment vertical="center"/>
      <protection locked="0"/>
    </xf>
    <xf numFmtId="0" fontId="0" fillId="3" borderId="0" xfId="0" applyFill="1" applyAlignment="1">
      <alignment horizontal="center"/>
    </xf>
    <xf numFmtId="0" fontId="12" fillId="3" borderId="0" xfId="0" applyFont="1" applyFill="1"/>
    <xf numFmtId="0" fontId="30" fillId="11" borderId="0" xfId="2" applyFont="1" applyFill="1" applyAlignment="1">
      <alignment horizontal="center"/>
    </xf>
    <xf numFmtId="0" fontId="12" fillId="3" borderId="0" xfId="0" applyFont="1" applyFill="1" applyAlignment="1">
      <alignment horizontal="center"/>
    </xf>
    <xf numFmtId="49" fontId="10" fillId="5" borderId="77" xfId="1" applyNumberFormat="1" applyFont="1" applyFill="1" applyBorder="1" applyAlignment="1">
      <alignment horizontal="center" vertical="center"/>
    </xf>
    <xf numFmtId="49" fontId="31" fillId="12" borderId="0" xfId="2" applyNumberFormat="1" applyFont="1" applyFill="1"/>
    <xf numFmtId="0" fontId="22" fillId="0" borderId="23" xfId="0" applyFont="1" applyBorder="1" applyAlignment="1">
      <alignment vertical="center" wrapText="1"/>
    </xf>
    <xf numFmtId="1" fontId="22" fillId="0" borderId="0" xfId="0" applyNumberFormat="1" applyFont="1" applyAlignment="1">
      <alignment vertical="center" wrapText="1"/>
    </xf>
    <xf numFmtId="49" fontId="15" fillId="8" borderId="88" xfId="0" applyNumberFormat="1" applyFont="1" applyFill="1" applyBorder="1" applyAlignment="1" applyProtection="1">
      <alignment vertical="center" wrapText="1"/>
      <protection locked="0"/>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xf numFmtId="0" fontId="0" fillId="5" borderId="2" xfId="0" applyFill="1" applyBorder="1" applyAlignment="1">
      <alignment horizontal="center" vertical="center"/>
    </xf>
    <xf numFmtId="170" fontId="0" fillId="5" borderId="1" xfId="0" applyNumberFormat="1" applyFill="1" applyBorder="1" applyAlignment="1">
      <alignment vertical="center"/>
    </xf>
    <xf numFmtId="169" fontId="0" fillId="5" borderId="1" xfId="0" applyNumberFormat="1" applyFill="1" applyBorder="1" applyAlignment="1">
      <alignment vertical="center"/>
    </xf>
    <xf numFmtId="170" fontId="0" fillId="5" borderId="2" xfId="0" applyNumberFormat="1" applyFill="1" applyBorder="1" applyAlignment="1">
      <alignment vertical="center"/>
    </xf>
    <xf numFmtId="169" fontId="0" fillId="5" borderId="2" xfId="0" applyNumberFormat="1" applyFill="1" applyBorder="1" applyAlignment="1">
      <alignment vertical="center"/>
    </xf>
    <xf numFmtId="170" fontId="0" fillId="5" borderId="15" xfId="0" applyNumberFormat="1" applyFill="1" applyBorder="1"/>
    <xf numFmtId="169" fontId="0" fillId="5" borderId="15" xfId="0" applyNumberFormat="1" applyFill="1" applyBorder="1"/>
    <xf numFmtId="3" fontId="0" fillId="5" borderId="17" xfId="0" applyNumberFormat="1" applyFill="1" applyBorder="1" applyAlignment="1">
      <alignment vertical="center"/>
    </xf>
    <xf numFmtId="3" fontId="0" fillId="5" borderId="18" xfId="0" applyNumberFormat="1" applyFill="1" applyBorder="1" applyAlignment="1">
      <alignment vertical="center"/>
    </xf>
    <xf numFmtId="3" fontId="0" fillId="5" borderId="36" xfId="0" applyNumberFormat="1" applyFill="1" applyBorder="1" applyAlignment="1">
      <alignment vertical="center"/>
    </xf>
    <xf numFmtId="3" fontId="0" fillId="5" borderId="37" xfId="0" applyNumberFormat="1" applyFill="1" applyBorder="1" applyAlignment="1">
      <alignment vertical="center"/>
    </xf>
    <xf numFmtId="3" fontId="0" fillId="5" borderId="14" xfId="0" applyNumberFormat="1" applyFill="1" applyBorder="1"/>
    <xf numFmtId="3" fontId="0" fillId="5" borderId="16" xfId="0" applyNumberFormat="1" applyFill="1" applyBorder="1"/>
    <xf numFmtId="0" fontId="32" fillId="0" borderId="0" xfId="0" applyFont="1" applyAlignment="1">
      <alignment vertical="center"/>
    </xf>
    <xf numFmtId="14" fontId="15" fillId="0" borderId="92" xfId="0" applyNumberFormat="1" applyFont="1" applyBorder="1" applyAlignment="1" applyProtection="1">
      <alignment horizontal="left" vertical="center"/>
      <protection locked="0"/>
    </xf>
    <xf numFmtId="167" fontId="15" fillId="0" borderId="88" xfId="0" applyNumberFormat="1" applyFont="1" applyBorder="1" applyAlignment="1">
      <alignment horizontal="left" vertical="center"/>
    </xf>
    <xf numFmtId="0" fontId="15" fillId="0" borderId="99" xfId="0" applyFont="1" applyBorder="1" applyAlignment="1">
      <alignment vertical="center"/>
    </xf>
    <xf numFmtId="0" fontId="0" fillId="0" borderId="4" xfId="0" applyBorder="1" applyAlignment="1">
      <alignment horizontal="left" vertical="center"/>
    </xf>
    <xf numFmtId="167" fontId="0" fillId="0" borderId="3" xfId="0" applyNumberFormat="1" applyBorder="1" applyAlignment="1">
      <alignment horizontal="right" vertical="center" wrapText="1" indent="1"/>
    </xf>
    <xf numFmtId="0" fontId="0" fillId="0" borderId="23" xfId="0" applyBorder="1" applyAlignment="1">
      <alignment horizontal="left" vertical="center"/>
    </xf>
    <xf numFmtId="3" fontId="33" fillId="3" borderId="42" xfId="0" applyNumberFormat="1" applyFont="1" applyFill="1" applyBorder="1" applyAlignment="1">
      <alignment vertical="center"/>
    </xf>
    <xf numFmtId="3" fontId="22" fillId="0" borderId="43" xfId="0" applyNumberFormat="1" applyFont="1" applyBorder="1" applyAlignment="1">
      <alignment vertical="center"/>
    </xf>
    <xf numFmtId="0" fontId="0" fillId="0" borderId="4" xfId="0" applyBorder="1" applyAlignment="1">
      <alignment vertical="center"/>
    </xf>
    <xf numFmtId="0" fontId="34" fillId="0" borderId="0" xfId="0" applyFont="1" applyAlignment="1">
      <alignment horizontal="left" vertical="center"/>
    </xf>
    <xf numFmtId="0" fontId="0" fillId="0" borderId="0" xfId="0" applyAlignment="1">
      <alignment horizontal="right" vertical="top"/>
    </xf>
    <xf numFmtId="0" fontId="0" fillId="0" borderId="0" xfId="0" applyAlignment="1">
      <alignment vertical="top"/>
    </xf>
    <xf numFmtId="0" fontId="34" fillId="0" borderId="24" xfId="0" applyFont="1" applyBorder="1" applyAlignment="1">
      <alignment horizontal="left" vertical="center"/>
    </xf>
    <xf numFmtId="169" fontId="15" fillId="0" borderId="88" xfId="0" applyNumberFormat="1" applyFont="1" applyBorder="1" applyAlignment="1" applyProtection="1">
      <alignment horizontal="left" vertical="center"/>
      <protection locked="0"/>
    </xf>
    <xf numFmtId="169" fontId="6" fillId="7" borderId="38" xfId="0" applyNumberFormat="1" applyFont="1" applyFill="1" applyBorder="1" applyAlignment="1">
      <alignment horizontal="center"/>
    </xf>
    <xf numFmtId="49" fontId="15" fillId="8" borderId="90" xfId="0" applyNumberFormat="1" applyFont="1" applyFill="1" applyBorder="1" applyAlignment="1" applyProtection="1">
      <alignment vertical="center" wrapText="1"/>
      <protection locked="0"/>
    </xf>
    <xf numFmtId="0" fontId="35" fillId="0" borderId="0" xfId="0" applyFont="1" applyAlignment="1">
      <alignment vertical="center" wrapText="1"/>
    </xf>
    <xf numFmtId="0" fontId="35" fillId="0" borderId="0" xfId="0" applyFont="1"/>
    <xf numFmtId="0" fontId="35" fillId="0" borderId="0" xfId="0" applyFont="1" applyAlignment="1">
      <alignment vertical="center"/>
    </xf>
    <xf numFmtId="0" fontId="0" fillId="0" borderId="31" xfId="0" applyBorder="1" applyAlignment="1">
      <alignment horizontal="center" vertical="center"/>
    </xf>
    <xf numFmtId="1" fontId="13" fillId="10" borderId="58" xfId="1" applyNumberFormat="1" applyFont="1" applyFill="1" applyBorder="1" applyAlignment="1">
      <alignment horizontal="center" vertical="center"/>
    </xf>
    <xf numFmtId="1" fontId="13" fillId="10" borderId="57" xfId="1" applyNumberFormat="1" applyFont="1" applyFill="1" applyBorder="1" applyAlignment="1">
      <alignment horizontal="center" vertical="center"/>
    </xf>
    <xf numFmtId="0" fontId="3" fillId="10" borderId="64" xfId="0" applyFont="1" applyFill="1" applyBorder="1" applyAlignment="1">
      <alignment horizontal="center" vertical="center" wrapText="1"/>
    </xf>
    <xf numFmtId="0" fontId="3" fillId="10" borderId="65" xfId="0" applyFont="1" applyFill="1" applyBorder="1" applyAlignment="1">
      <alignment horizontal="center" vertical="center" wrapText="1"/>
    </xf>
    <xf numFmtId="1" fontId="13" fillId="10" borderId="55" xfId="1" applyNumberFormat="1" applyFont="1" applyFill="1" applyBorder="1" applyAlignment="1">
      <alignment horizontal="center" vertical="center"/>
    </xf>
    <xf numFmtId="1" fontId="13" fillId="10" borderId="56" xfId="1" applyNumberFormat="1" applyFont="1" applyFill="1" applyBorder="1" applyAlignment="1">
      <alignment horizontal="center" vertical="center"/>
    </xf>
    <xf numFmtId="0" fontId="3" fillId="10" borderId="22" xfId="0" applyFont="1" applyFill="1" applyBorder="1" applyAlignment="1">
      <alignment horizontal="center" wrapText="1"/>
    </xf>
    <xf numFmtId="1" fontId="13" fillId="10" borderId="9" xfId="1" applyNumberFormat="1" applyFont="1" applyFill="1" applyBorder="1" applyAlignment="1">
      <alignment horizontal="center"/>
    </xf>
    <xf numFmtId="0" fontId="3" fillId="10" borderId="58" xfId="0" applyFont="1" applyFill="1" applyBorder="1" applyAlignment="1">
      <alignment horizontal="center" vertical="center" wrapText="1"/>
    </xf>
    <xf numFmtId="0" fontId="3" fillId="10" borderId="57" xfId="0" applyFont="1" applyFill="1" applyBorder="1" applyAlignment="1">
      <alignment horizontal="center" vertical="center" wrapText="1"/>
    </xf>
    <xf numFmtId="1" fontId="7" fillId="10" borderId="55" xfId="1" applyNumberFormat="1" applyFont="1" applyFill="1" applyBorder="1" applyAlignment="1">
      <alignment horizontal="center" vertical="center"/>
    </xf>
    <xf numFmtId="1" fontId="7" fillId="10" borderId="56" xfId="1" applyNumberFormat="1" applyFont="1" applyFill="1" applyBorder="1" applyAlignment="1">
      <alignment horizontal="center" vertical="center"/>
    </xf>
    <xf numFmtId="0" fontId="6" fillId="10" borderId="58" xfId="0" applyFont="1" applyFill="1" applyBorder="1" applyAlignment="1">
      <alignment horizontal="center" vertical="center" wrapText="1"/>
    </xf>
    <xf numFmtId="0" fontId="6" fillId="10" borderId="57" xfId="0" applyFont="1" applyFill="1" applyBorder="1" applyAlignment="1">
      <alignment horizontal="center" vertical="center" wrapText="1"/>
    </xf>
    <xf numFmtId="0" fontId="8" fillId="0" borderId="0" xfId="0" applyFont="1" applyAlignment="1">
      <alignment vertical="center"/>
    </xf>
    <xf numFmtId="171" fontId="0" fillId="5" borderId="96" xfId="0" applyNumberFormat="1" applyFill="1" applyBorder="1"/>
    <xf numFmtId="0" fontId="2" fillId="0" borderId="51" xfId="0" applyFont="1" applyBorder="1" applyAlignment="1" applyProtection="1">
      <alignment horizontal="center" vertical="center" wrapText="1"/>
      <protection locked="0"/>
    </xf>
    <xf numFmtId="0" fontId="2" fillId="0" borderId="100" xfId="0" applyFont="1" applyBorder="1" applyAlignment="1" applyProtection="1">
      <alignment horizontal="center" vertical="center" wrapText="1"/>
      <protection locked="0"/>
    </xf>
    <xf numFmtId="3" fontId="0" fillId="0" borderId="101" xfId="0" applyNumberFormat="1" applyBorder="1" applyAlignment="1" applyProtection="1">
      <alignment vertical="center"/>
      <protection locked="0"/>
    </xf>
    <xf numFmtId="0" fontId="15" fillId="5" borderId="7" xfId="0" applyFont="1" applyFill="1" applyBorder="1" applyAlignment="1">
      <alignment horizontal="right" vertical="center"/>
    </xf>
    <xf numFmtId="0" fontId="21" fillId="0" borderId="0" xfId="0" applyFont="1" applyAlignment="1">
      <alignment vertical="center"/>
    </xf>
    <xf numFmtId="3" fontId="0" fillId="5" borderId="0" xfId="0" applyNumberFormat="1" applyFill="1" applyAlignment="1" applyProtection="1">
      <alignment vertical="center"/>
      <protection locked="0"/>
    </xf>
    <xf numFmtId="9" fontId="0" fillId="0" borderId="1" xfId="0" applyNumberFormat="1" applyBorder="1" applyAlignment="1" applyProtection="1">
      <alignment horizontal="center" vertical="center"/>
      <protection locked="0"/>
    </xf>
    <xf numFmtId="9" fontId="0" fillId="0" borderId="102" xfId="0" applyNumberFormat="1" applyBorder="1" applyAlignment="1" applyProtection="1">
      <alignment horizontal="center" vertical="center"/>
      <protection locked="0"/>
    </xf>
    <xf numFmtId="0" fontId="3" fillId="5" borderId="2"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9" xfId="0" applyFont="1" applyFill="1" applyBorder="1" applyAlignment="1">
      <alignment horizontal="center" vertical="center"/>
    </xf>
    <xf numFmtId="3" fontId="0" fillId="5" borderId="1" xfId="0" applyNumberFormat="1" applyFill="1" applyBorder="1" applyAlignment="1">
      <alignment vertical="center"/>
    </xf>
    <xf numFmtId="3" fontId="0" fillId="5" borderId="102" xfId="0" applyNumberFormat="1" applyFill="1" applyBorder="1" applyAlignment="1">
      <alignment vertical="center"/>
    </xf>
    <xf numFmtId="3" fontId="3" fillId="5" borderId="103" xfId="0" applyNumberFormat="1" applyFont="1" applyFill="1" applyBorder="1" applyAlignment="1">
      <alignment vertical="center"/>
    </xf>
    <xf numFmtId="14" fontId="0" fillId="0" borderId="58" xfId="0" applyNumberFormat="1" applyBorder="1" applyAlignment="1" applyProtection="1">
      <alignment horizontal="center" vertical="center"/>
      <protection locked="0"/>
    </xf>
    <xf numFmtId="0" fontId="0" fillId="5" borderId="8" xfId="0" applyFill="1" applyBorder="1" applyAlignment="1">
      <alignment vertical="center"/>
    </xf>
    <xf numFmtId="0" fontId="3" fillId="5" borderId="7" xfId="0" applyFont="1" applyFill="1" applyBorder="1" applyAlignment="1">
      <alignment horizontal="center" vertical="center"/>
    </xf>
    <xf numFmtId="3" fontId="3" fillId="5" borderId="51" xfId="0" applyNumberFormat="1" applyFont="1" applyFill="1" applyBorder="1" applyAlignment="1">
      <alignment vertical="center"/>
    </xf>
    <xf numFmtId="3" fontId="3" fillId="5" borderId="52" xfId="0" applyNumberFormat="1" applyFont="1" applyFill="1" applyBorder="1" applyAlignment="1">
      <alignment vertical="center"/>
    </xf>
    <xf numFmtId="3" fontId="3" fillId="5" borderId="53" xfId="0" applyNumberFormat="1" applyFont="1" applyFill="1" applyBorder="1" applyAlignment="1">
      <alignment vertical="center"/>
    </xf>
    <xf numFmtId="169" fontId="0" fillId="5" borderId="48" xfId="0" applyNumberFormat="1" applyFill="1" applyBorder="1" applyAlignment="1">
      <alignment horizontal="center" vertical="center"/>
    </xf>
    <xf numFmtId="3" fontId="0" fillId="5" borderId="48" xfId="0" applyNumberFormat="1" applyFill="1" applyBorder="1" applyAlignment="1">
      <alignment vertical="center"/>
    </xf>
    <xf numFmtId="9" fontId="15" fillId="0" borderId="88" xfId="0" applyNumberFormat="1" applyFont="1" applyBorder="1" applyAlignment="1" applyProtection="1">
      <alignment horizontal="left" vertical="center"/>
      <protection locked="0"/>
    </xf>
    <xf numFmtId="169" fontId="15" fillId="0" borderId="0" xfId="0" applyNumberFormat="1" applyFont="1" applyAlignment="1">
      <alignment vertical="center"/>
    </xf>
    <xf numFmtId="0" fontId="36" fillId="0" borderId="8" xfId="0" applyFont="1" applyBorder="1" applyAlignment="1">
      <alignment vertical="center" wrapText="1"/>
    </xf>
    <xf numFmtId="9" fontId="9" fillId="0" borderId="0" xfId="0" applyNumberFormat="1" applyFont="1" applyAlignment="1" applyProtection="1">
      <alignment horizontal="center" vertical="top"/>
      <protection locked="0"/>
    </xf>
    <xf numFmtId="10" fontId="0" fillId="0" borderId="24" xfId="0" applyNumberFormat="1" applyBorder="1" applyAlignment="1">
      <alignment horizontal="center" vertical="center"/>
    </xf>
    <xf numFmtId="3" fontId="0" fillId="0" borderId="104" xfId="0" applyNumberFormat="1" applyBorder="1" applyAlignment="1">
      <alignment vertical="center"/>
    </xf>
    <xf numFmtId="3" fontId="33" fillId="3" borderId="17" xfId="0" applyNumberFormat="1" applyFont="1" applyFill="1" applyBorder="1" applyAlignment="1">
      <alignment vertical="center"/>
    </xf>
    <xf numFmtId="3" fontId="22" fillId="0" borderId="1" xfId="0" applyNumberFormat="1" applyFont="1" applyBorder="1" applyAlignment="1">
      <alignment vertical="center"/>
    </xf>
    <xf numFmtId="3" fontId="24" fillId="4" borderId="1" xfId="0" applyNumberFormat="1" applyFont="1" applyFill="1" applyBorder="1" applyAlignment="1">
      <alignment vertical="center"/>
    </xf>
    <xf numFmtId="3" fontId="22" fillId="0" borderId="18" xfId="0" applyNumberFormat="1" applyFont="1" applyBorder="1" applyAlignment="1">
      <alignment vertical="center"/>
    </xf>
    <xf numFmtId="3" fontId="3" fillId="3" borderId="17" xfId="0" applyNumberFormat="1" applyFont="1" applyFill="1" applyBorder="1" applyAlignment="1">
      <alignment vertical="center"/>
    </xf>
    <xf numFmtId="3" fontId="3" fillId="0" borderId="1" xfId="0" applyNumberFormat="1" applyFont="1" applyBorder="1" applyAlignment="1">
      <alignment vertical="center"/>
    </xf>
    <xf numFmtId="3" fontId="3" fillId="4" borderId="1" xfId="0" applyNumberFormat="1" applyFont="1" applyFill="1" applyBorder="1" applyAlignment="1">
      <alignment vertical="center"/>
    </xf>
    <xf numFmtId="3" fontId="3" fillId="0" borderId="18" xfId="0" applyNumberFormat="1" applyFont="1" applyBorder="1" applyAlignment="1">
      <alignment vertical="center"/>
    </xf>
    <xf numFmtId="3" fontId="0" fillId="3" borderId="19" xfId="0" applyNumberFormat="1" applyFill="1" applyBorder="1" applyAlignment="1">
      <alignment vertical="center"/>
    </xf>
    <xf numFmtId="3" fontId="0" fillId="0" borderId="20" xfId="0" applyNumberFormat="1" applyBorder="1" applyAlignment="1">
      <alignment vertical="center"/>
    </xf>
    <xf numFmtId="3" fontId="0" fillId="4" borderId="20" xfId="0" applyNumberFormat="1" applyFill="1" applyBorder="1" applyAlignment="1">
      <alignment vertical="center"/>
    </xf>
    <xf numFmtId="3" fontId="0" fillId="0" borderId="21" xfId="0" applyNumberFormat="1" applyBorder="1" applyAlignment="1">
      <alignment vertical="center"/>
    </xf>
    <xf numFmtId="3" fontId="3" fillId="3" borderId="7" xfId="0" applyNumberFormat="1" applyFont="1" applyFill="1" applyBorder="1" applyAlignment="1">
      <alignment vertical="center"/>
    </xf>
    <xf numFmtId="10" fontId="2" fillId="3" borderId="18" xfId="0" applyNumberFormat="1" applyFont="1" applyFill="1" applyBorder="1" applyAlignment="1">
      <alignment horizontal="center" vertical="center" wrapText="1"/>
    </xf>
    <xf numFmtId="9" fontId="2" fillId="0" borderId="0" xfId="0" applyNumberFormat="1" applyFont="1" applyAlignment="1">
      <alignment horizontal="center" vertical="center" wrapText="1"/>
    </xf>
    <xf numFmtId="9" fontId="13" fillId="0" borderId="0" xfId="0" applyNumberFormat="1" applyFont="1" applyAlignment="1">
      <alignment horizontal="center" vertical="center" wrapText="1"/>
    </xf>
    <xf numFmtId="3" fontId="0" fillId="0" borderId="97" xfId="0" applyNumberFormat="1" applyBorder="1" applyAlignment="1">
      <alignment vertical="center"/>
    </xf>
    <xf numFmtId="0" fontId="3" fillId="5" borderId="0" xfId="0" applyFont="1" applyFill="1" applyAlignment="1">
      <alignment vertical="center" wrapText="1"/>
    </xf>
    <xf numFmtId="0" fontId="2" fillId="5" borderId="0" xfId="0" applyFont="1" applyFill="1" applyAlignment="1">
      <alignment vertical="center" wrapText="1"/>
    </xf>
    <xf numFmtId="164" fontId="7" fillId="5" borderId="27" xfId="1" applyNumberFormat="1" applyFont="1" applyFill="1" applyBorder="1" applyAlignment="1">
      <alignment horizontal="center" vertical="center"/>
    </xf>
    <xf numFmtId="164" fontId="19" fillId="5" borderId="27" xfId="1" applyNumberFormat="1" applyFont="1" applyFill="1" applyBorder="1" applyAlignment="1">
      <alignment horizontal="center" vertical="center"/>
    </xf>
    <xf numFmtId="3" fontId="22" fillId="0" borderId="0" xfId="0" applyNumberFormat="1" applyFont="1" applyAlignment="1">
      <alignment vertical="center"/>
    </xf>
    <xf numFmtId="3" fontId="19" fillId="5" borderId="47" xfId="1" applyNumberFormat="1" applyFont="1" applyFill="1" applyBorder="1" applyAlignment="1">
      <alignment horizontal="center" vertical="center"/>
    </xf>
    <xf numFmtId="9" fontId="13" fillId="3" borderId="18" xfId="0" applyNumberFormat="1" applyFont="1" applyFill="1" applyBorder="1" applyAlignment="1">
      <alignment horizontal="center" vertical="center" wrapText="1"/>
    </xf>
    <xf numFmtId="3" fontId="0" fillId="2" borderId="106" xfId="0" applyNumberFormat="1" applyFill="1" applyBorder="1" applyAlignment="1" applyProtection="1">
      <alignment vertical="center"/>
      <protection locked="0"/>
    </xf>
    <xf numFmtId="3" fontId="0" fillId="3" borderId="107" xfId="0" applyNumberFormat="1" applyFill="1" applyBorder="1" applyAlignment="1">
      <alignment vertical="center"/>
    </xf>
    <xf numFmtId="3" fontId="0" fillId="3" borderId="105" xfId="0" applyNumberFormat="1" applyFill="1" applyBorder="1" applyAlignment="1">
      <alignment vertical="center"/>
    </xf>
    <xf numFmtId="3" fontId="0" fillId="2" borderId="14" xfId="0" applyNumberFormat="1" applyFill="1" applyBorder="1" applyAlignment="1" applyProtection="1">
      <alignment vertical="center"/>
      <protection locked="0"/>
    </xf>
    <xf numFmtId="3" fontId="0" fillId="4" borderId="17" xfId="0" applyNumberFormat="1" applyFill="1" applyBorder="1" applyAlignment="1">
      <alignment vertical="center"/>
    </xf>
    <xf numFmtId="3" fontId="0" fillId="4" borderId="19" xfId="0" applyNumberFormat="1" applyFill="1" applyBorder="1" applyAlignment="1">
      <alignment vertical="center"/>
    </xf>
    <xf numFmtId="3" fontId="0" fillId="2" borderId="15" xfId="0" applyNumberFormat="1" applyFill="1" applyBorder="1" applyAlignment="1" applyProtection="1">
      <alignment vertical="center"/>
      <protection locked="0"/>
    </xf>
    <xf numFmtId="3" fontId="0" fillId="2" borderId="16" xfId="0" applyNumberFormat="1" applyFill="1" applyBorder="1" applyAlignment="1" applyProtection="1">
      <alignment vertical="center"/>
      <protection locked="0"/>
    </xf>
    <xf numFmtId="0" fontId="38" fillId="11" borderId="0" xfId="2" applyFont="1" applyFill="1" applyAlignment="1">
      <alignment horizontal="center"/>
    </xf>
    <xf numFmtId="49" fontId="39" fillId="12" borderId="0" xfId="2" applyNumberFormat="1" applyFont="1" applyFill="1"/>
    <xf numFmtId="0" fontId="39" fillId="9" borderId="0" xfId="2" applyFont="1" applyFill="1" applyAlignment="1">
      <alignment horizontal="center" vertical="center"/>
    </xf>
    <xf numFmtId="164" fontId="7" fillId="5" borderId="23" xfId="1" applyNumberFormat="1" applyFont="1" applyFill="1" applyBorder="1" applyAlignment="1">
      <alignment horizontal="center" vertical="center"/>
    </xf>
    <xf numFmtId="0" fontId="0" fillId="5" borderId="24" xfId="0" applyFill="1" applyBorder="1"/>
    <xf numFmtId="164" fontId="19" fillId="5" borderId="23" xfId="1" applyNumberFormat="1" applyFont="1" applyFill="1" applyBorder="1" applyAlignment="1">
      <alignment horizontal="center" vertical="center"/>
    </xf>
    <xf numFmtId="49" fontId="27" fillId="0" borderId="0" xfId="0" applyNumberFormat="1" applyFont="1" applyAlignment="1">
      <alignment vertical="center"/>
    </xf>
    <xf numFmtId="9" fontId="9" fillId="2" borderId="0" xfId="0" applyNumberFormat="1" applyFont="1" applyFill="1" applyAlignment="1" applyProtection="1">
      <alignment horizontal="center" vertical="top"/>
      <protection locked="0"/>
    </xf>
    <xf numFmtId="3" fontId="19" fillId="5" borderId="27" xfId="1" applyNumberFormat="1" applyFont="1" applyFill="1" applyBorder="1" applyAlignment="1">
      <alignment horizontal="center" vertical="center"/>
    </xf>
    <xf numFmtId="3" fontId="0" fillId="2" borderId="11" xfId="0" applyNumberFormat="1" applyFill="1" applyBorder="1" applyAlignment="1" applyProtection="1">
      <alignment vertical="center"/>
      <protection locked="0"/>
    </xf>
    <xf numFmtId="3" fontId="0" fillId="2" borderId="12" xfId="0" applyNumberFormat="1" applyFill="1" applyBorder="1" applyAlignment="1" applyProtection="1">
      <alignment vertical="center"/>
      <protection locked="0"/>
    </xf>
    <xf numFmtId="3" fontId="0" fillId="2" borderId="13" xfId="0" applyNumberFormat="1" applyFill="1" applyBorder="1" applyAlignment="1" applyProtection="1">
      <alignment vertical="center"/>
      <protection locked="0"/>
    </xf>
    <xf numFmtId="0" fontId="11" fillId="5" borderId="0" xfId="0" applyFont="1" applyFill="1" applyAlignment="1">
      <alignment vertical="center" wrapText="1"/>
    </xf>
    <xf numFmtId="0" fontId="22" fillId="0" borderId="0" xfId="0" applyFont="1" applyAlignment="1">
      <alignment vertical="center" wrapText="1"/>
    </xf>
    <xf numFmtId="3" fontId="0" fillId="0" borderId="11" xfId="0" applyNumberFormat="1" applyBorder="1" applyAlignment="1">
      <alignment vertical="center"/>
    </xf>
    <xf numFmtId="0" fontId="27" fillId="0" borderId="0" xfId="0" applyFont="1" applyAlignment="1">
      <alignment vertical="center"/>
    </xf>
    <xf numFmtId="0" fontId="3" fillId="0" borderId="0" xfId="0" applyFont="1" applyAlignment="1">
      <alignment vertical="center"/>
    </xf>
    <xf numFmtId="3" fontId="0" fillId="3" borderId="106" xfId="0" applyNumberFormat="1" applyFill="1" applyBorder="1" applyAlignment="1">
      <alignment vertical="center"/>
    </xf>
    <xf numFmtId="3" fontId="0" fillId="4" borderId="14" xfId="0" applyNumberFormat="1" applyFill="1" applyBorder="1" applyAlignment="1">
      <alignment vertical="center"/>
    </xf>
    <xf numFmtId="9" fontId="19" fillId="0" borderId="0" xfId="0" applyNumberFormat="1" applyFont="1" applyAlignment="1">
      <alignment horizontal="center" vertical="center" wrapText="1"/>
    </xf>
    <xf numFmtId="3" fontId="40" fillId="4" borderId="1" xfId="0" applyNumberFormat="1" applyFont="1" applyFill="1" applyBorder="1" applyAlignment="1">
      <alignment vertical="center"/>
    </xf>
    <xf numFmtId="10" fontId="36" fillId="0" borderId="7" xfId="0" applyNumberFormat="1" applyFont="1" applyBorder="1" applyAlignment="1">
      <alignment horizontal="left" vertical="center"/>
    </xf>
    <xf numFmtId="0" fontId="15" fillId="0" borderId="91" xfId="0" applyFont="1" applyBorder="1" applyAlignment="1">
      <alignment vertical="center" wrapText="1"/>
    </xf>
    <xf numFmtId="0" fontId="27" fillId="0" borderId="93" xfId="0" applyFont="1" applyBorder="1" applyAlignment="1">
      <alignment horizontal="center" wrapText="1"/>
    </xf>
    <xf numFmtId="3" fontId="2" fillId="0" borderId="20" xfId="0" applyNumberFormat="1" applyFont="1" applyBorder="1" applyAlignment="1">
      <alignment vertical="center"/>
    </xf>
    <xf numFmtId="3" fontId="2" fillId="4" borderId="20" xfId="0" applyNumberFormat="1" applyFont="1" applyFill="1" applyBorder="1" applyAlignment="1">
      <alignment vertical="center"/>
    </xf>
    <xf numFmtId="3" fontId="2" fillId="0" borderId="21" xfId="0" applyNumberFormat="1" applyFont="1" applyBorder="1" applyAlignment="1">
      <alignment vertical="center"/>
    </xf>
    <xf numFmtId="3" fontId="13" fillId="0" borderId="1" xfId="0" applyNumberFormat="1" applyFont="1" applyBorder="1" applyAlignment="1">
      <alignment vertical="center"/>
    </xf>
    <xf numFmtId="3" fontId="13" fillId="4" borderId="1" xfId="0" applyNumberFormat="1" applyFont="1" applyFill="1" applyBorder="1" applyAlignment="1">
      <alignment vertical="center"/>
    </xf>
    <xf numFmtId="3" fontId="13" fillId="0" borderId="18" xfId="0" applyNumberFormat="1" applyFont="1" applyBorder="1" applyAlignment="1">
      <alignment vertical="center"/>
    </xf>
    <xf numFmtId="3" fontId="0" fillId="0" borderId="108" xfId="0" applyNumberFormat="1" applyBorder="1" applyAlignment="1" applyProtection="1">
      <alignment vertical="center"/>
      <protection locked="0"/>
    </xf>
    <xf numFmtId="3" fontId="0" fillId="0" borderId="109" xfId="0" applyNumberFormat="1" applyBorder="1" applyAlignment="1" applyProtection="1">
      <alignment vertical="center"/>
      <protection locked="0"/>
    </xf>
    <xf numFmtId="3" fontId="0" fillId="0" borderId="110" xfId="0" applyNumberFormat="1" applyBorder="1" applyAlignment="1" applyProtection="1">
      <alignment vertical="center"/>
      <protection locked="0"/>
    </xf>
    <xf numFmtId="3" fontId="0" fillId="0" borderId="65" xfId="0" applyNumberFormat="1" applyBorder="1" applyAlignment="1" applyProtection="1">
      <alignment vertical="center"/>
      <protection locked="0"/>
    </xf>
    <xf numFmtId="3" fontId="0" fillId="0" borderId="53" xfId="0" applyNumberFormat="1" applyBorder="1" applyAlignment="1" applyProtection="1">
      <alignment vertical="center"/>
      <protection locked="0"/>
    </xf>
    <xf numFmtId="3" fontId="0" fillId="0" borderId="56" xfId="0" applyNumberFormat="1" applyBorder="1" applyAlignment="1" applyProtection="1">
      <alignment vertical="center"/>
      <protection locked="0"/>
    </xf>
    <xf numFmtId="0" fontId="15" fillId="0" borderId="86" xfId="0" applyFont="1" applyBorder="1" applyAlignment="1" applyProtection="1">
      <alignment vertical="center" wrapText="1"/>
      <protection locked="0"/>
    </xf>
    <xf numFmtId="49" fontId="7" fillId="5" borderId="2" xfId="1" applyNumberFormat="1" applyFont="1" applyFill="1" applyBorder="1" applyAlignment="1">
      <alignment horizontal="center" wrapText="1"/>
    </xf>
    <xf numFmtId="49" fontId="7" fillId="5" borderId="9" xfId="1" applyNumberFormat="1" applyFont="1" applyFill="1" applyBorder="1" applyAlignment="1">
      <alignment horizontal="center" wrapText="1"/>
    </xf>
    <xf numFmtId="0" fontId="13" fillId="5" borderId="2" xfId="1" applyFont="1" applyFill="1" applyBorder="1" applyAlignment="1">
      <alignment horizontal="left" wrapText="1"/>
    </xf>
    <xf numFmtId="0" fontId="13" fillId="5" borderId="9" xfId="1" applyFont="1" applyFill="1" applyBorder="1" applyAlignment="1">
      <alignment horizontal="left" wrapText="1"/>
    </xf>
    <xf numFmtId="0" fontId="12" fillId="5" borderId="4" xfId="2" applyFont="1" applyFill="1" applyBorder="1" applyAlignment="1">
      <alignment horizontal="center" wrapText="1"/>
    </xf>
    <xf numFmtId="0" fontId="12" fillId="5" borderId="5" xfId="2" applyFont="1" applyFill="1" applyBorder="1" applyAlignment="1">
      <alignment horizontal="center" wrapText="1"/>
    </xf>
    <xf numFmtId="3" fontId="13" fillId="5" borderId="2" xfId="1" applyNumberFormat="1" applyFont="1" applyFill="1" applyBorder="1" applyAlignment="1">
      <alignment horizontal="center" wrapText="1"/>
    </xf>
    <xf numFmtId="3" fontId="13" fillId="5" borderId="9" xfId="1" applyNumberFormat="1" applyFont="1" applyFill="1" applyBorder="1" applyAlignment="1">
      <alignment horizontal="center" wrapText="1"/>
    </xf>
    <xf numFmtId="0" fontId="5" fillId="5" borderId="2" xfId="0" applyFont="1" applyFill="1" applyBorder="1" applyAlignment="1">
      <alignment horizontal="center" wrapText="1"/>
    </xf>
    <xf numFmtId="0" fontId="5" fillId="5" borderId="9" xfId="0" applyFont="1" applyFill="1" applyBorder="1" applyAlignment="1">
      <alignment horizontal="center" wrapText="1"/>
    </xf>
    <xf numFmtId="0" fontId="9" fillId="5" borderId="36" xfId="2" applyFont="1" applyFill="1" applyBorder="1" applyAlignment="1">
      <alignment horizontal="center" textRotation="90" wrapText="1"/>
    </xf>
    <xf numFmtId="0" fontId="9" fillId="5" borderId="38" xfId="2" applyFont="1" applyFill="1" applyBorder="1" applyAlignment="1">
      <alignment horizontal="center" textRotation="90" wrapText="1"/>
    </xf>
    <xf numFmtId="0" fontId="14" fillId="5" borderId="2" xfId="1" applyFont="1" applyFill="1" applyBorder="1" applyAlignment="1">
      <alignment horizontal="center" textRotation="90" wrapText="1"/>
    </xf>
    <xf numFmtId="0" fontId="14" fillId="5" borderId="9" xfId="1" applyFont="1" applyFill="1" applyBorder="1" applyAlignment="1">
      <alignment horizontal="center" textRotation="90" wrapText="1"/>
    </xf>
    <xf numFmtId="0" fontId="14" fillId="5" borderId="37" xfId="1" applyFont="1" applyFill="1" applyBorder="1" applyAlignment="1">
      <alignment horizontal="center" textRotation="90"/>
    </xf>
    <xf numFmtId="0" fontId="14" fillId="5" borderId="39" xfId="1" applyFont="1" applyFill="1" applyBorder="1" applyAlignment="1">
      <alignment horizontal="center" textRotation="90"/>
    </xf>
    <xf numFmtId="0" fontId="5" fillId="7" borderId="4" xfId="0" applyFont="1" applyFill="1" applyBorder="1" applyAlignment="1">
      <alignment horizontal="center" wrapText="1"/>
    </xf>
    <xf numFmtId="0" fontId="5" fillId="7" borderId="5" xfId="0" applyFont="1" applyFill="1" applyBorder="1" applyAlignment="1">
      <alignment horizont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1" xfId="0" applyFont="1" applyFill="1" applyBorder="1" applyAlignment="1">
      <alignment horizontal="center" vertical="center" wrapText="1"/>
    </xf>
    <xf numFmtId="0" fontId="3" fillId="5" borderId="8" xfId="0" applyFont="1" applyFill="1" applyBorder="1" applyAlignment="1">
      <alignment horizontal="right" vertical="center"/>
    </xf>
    <xf numFmtId="0" fontId="3" fillId="5" borderId="7" xfId="0" applyFont="1" applyFill="1" applyBorder="1" applyAlignment="1">
      <alignment horizontal="right" vertical="center"/>
    </xf>
    <xf numFmtId="0" fontId="0" fillId="0" borderId="0" xfId="0" applyAlignment="1">
      <alignment horizontal="left" vertical="center" wrapText="1"/>
    </xf>
    <xf numFmtId="0" fontId="0" fillId="0" borderId="24" xfId="0" applyBorder="1" applyAlignment="1">
      <alignment horizontal="left" vertical="center" wrapText="1"/>
    </xf>
    <xf numFmtId="0" fontId="0" fillId="0" borderId="84" xfId="0" applyBorder="1" applyAlignment="1">
      <alignment horizontal="left" vertical="center" wrapText="1"/>
    </xf>
    <xf numFmtId="0" fontId="13" fillId="0" borderId="0" xfId="0" applyFont="1" applyAlignment="1">
      <alignment horizontal="left" wrapText="1"/>
    </xf>
    <xf numFmtId="0" fontId="0" fillId="0" borderId="0" xfId="0" applyAlignment="1">
      <alignment horizontal="left" vertical="center"/>
    </xf>
    <xf numFmtId="0" fontId="5" fillId="5" borderId="58" xfId="0" applyFont="1" applyFill="1" applyBorder="1" applyAlignment="1">
      <alignment horizontal="center" wrapText="1"/>
    </xf>
    <xf numFmtId="0" fontId="5" fillId="5" borderId="55" xfId="0" applyFont="1" applyFill="1" applyBorder="1" applyAlignment="1">
      <alignment horizontal="center" wrapText="1"/>
    </xf>
    <xf numFmtId="0" fontId="9" fillId="5" borderId="42" xfId="2" applyFont="1" applyFill="1" applyBorder="1" applyAlignment="1">
      <alignment horizontal="center" textRotation="90" wrapText="1"/>
    </xf>
    <xf numFmtId="0" fontId="14" fillId="5" borderId="27" xfId="1" applyFont="1" applyFill="1" applyBorder="1" applyAlignment="1">
      <alignment horizontal="center" textRotation="90" wrapText="1"/>
    </xf>
    <xf numFmtId="0" fontId="14" fillId="5" borderId="43" xfId="1" applyFont="1" applyFill="1" applyBorder="1" applyAlignment="1">
      <alignment horizontal="center" textRotation="90"/>
    </xf>
    <xf numFmtId="0" fontId="0" fillId="0" borderId="23" xfId="0" applyBorder="1" applyAlignment="1">
      <alignment horizontal="left" vertical="center" wrapText="1"/>
    </xf>
    <xf numFmtId="0" fontId="5" fillId="0" borderId="8" xfId="0" applyFont="1" applyBorder="1" applyAlignment="1">
      <alignment horizontal="left" vertical="center" wrapText="1"/>
    </xf>
    <xf numFmtId="0" fontId="5" fillId="0" borderId="26" xfId="0" applyFont="1" applyBorder="1" applyAlignment="1">
      <alignment horizontal="left" vertical="center" wrapText="1"/>
    </xf>
    <xf numFmtId="0" fontId="5" fillId="0" borderId="7" xfId="0" applyFont="1" applyBorder="1" applyAlignment="1">
      <alignment horizontal="left" vertical="center" wrapText="1"/>
    </xf>
    <xf numFmtId="0" fontId="3" fillId="5" borderId="2" xfId="2" applyFont="1" applyFill="1" applyBorder="1" applyAlignment="1">
      <alignment horizontal="center" wrapText="1"/>
    </xf>
    <xf numFmtId="0" fontId="3" fillId="5" borderId="9" xfId="2" applyFont="1" applyFill="1" applyBorder="1" applyAlignment="1">
      <alignment horizontal="center" wrapText="1"/>
    </xf>
    <xf numFmtId="3" fontId="13" fillId="5" borderId="9" xfId="1" applyNumberFormat="1" applyFont="1" applyFill="1" applyBorder="1" applyAlignment="1">
      <alignment horizontal="center"/>
    </xf>
    <xf numFmtId="0" fontId="35" fillId="0" borderId="0" xfId="0" applyFont="1" applyAlignment="1">
      <alignment horizontal="left" vertical="center" wrapText="1"/>
    </xf>
    <xf numFmtId="3" fontId="12" fillId="0" borderId="55" xfId="0" applyNumberFormat="1" applyFont="1" applyBorder="1" applyAlignment="1" applyProtection="1">
      <alignment vertical="center"/>
      <protection locked="0"/>
    </xf>
    <xf numFmtId="3" fontId="12" fillId="0" borderId="55" xfId="0" applyNumberFormat="1" applyFont="1" applyBorder="1" applyAlignment="1">
      <alignment vertical="center"/>
    </xf>
    <xf numFmtId="3" fontId="12" fillId="0" borderId="56" xfId="0" applyNumberFormat="1" applyFont="1" applyBorder="1" applyAlignment="1">
      <alignment vertical="center"/>
    </xf>
    <xf numFmtId="3" fontId="12" fillId="0" borderId="52" xfId="0" applyNumberFormat="1" applyFont="1" applyBorder="1" applyAlignment="1" applyProtection="1">
      <alignment vertical="center"/>
      <protection locked="0"/>
    </xf>
    <xf numFmtId="3" fontId="12" fillId="0" borderId="52" xfId="0" applyNumberFormat="1" applyFont="1" applyBorder="1" applyAlignment="1">
      <alignment vertical="center"/>
    </xf>
    <xf numFmtId="3" fontId="12" fillId="0" borderId="53" xfId="0" applyNumberFormat="1" applyFont="1" applyBorder="1" applyAlignment="1">
      <alignment vertical="center"/>
    </xf>
    <xf numFmtId="3" fontId="12" fillId="0" borderId="58" xfId="0" applyNumberFormat="1" applyFont="1" applyBorder="1" applyAlignment="1" applyProtection="1">
      <alignment vertical="center"/>
      <protection locked="0"/>
    </xf>
    <xf numFmtId="3" fontId="12" fillId="0" borderId="58" xfId="0" applyNumberFormat="1" applyFont="1" applyBorder="1" applyAlignment="1">
      <alignment vertical="center"/>
    </xf>
    <xf numFmtId="3" fontId="12" fillId="0" borderId="57" xfId="0" applyNumberFormat="1" applyFont="1" applyBorder="1" applyAlignment="1">
      <alignment vertical="center"/>
    </xf>
    <xf numFmtId="0" fontId="12" fillId="5" borderId="49" xfId="0" applyFont="1" applyFill="1" applyBorder="1" applyAlignment="1">
      <alignment horizontal="left" vertical="center"/>
    </xf>
    <xf numFmtId="0" fontId="12" fillId="5" borderId="50" xfId="0" applyFont="1" applyFill="1" applyBorder="1" applyAlignment="1">
      <alignment vertical="center" wrapText="1"/>
    </xf>
    <xf numFmtId="0" fontId="2" fillId="5" borderId="50" xfId="0" applyFont="1" applyFill="1" applyBorder="1" applyAlignment="1">
      <alignment vertical="center" wrapText="1"/>
    </xf>
    <xf numFmtId="3" fontId="12" fillId="5" borderId="67" xfId="0" applyNumberFormat="1" applyFont="1" applyFill="1" applyBorder="1" applyAlignment="1">
      <alignment vertical="center"/>
    </xf>
    <xf numFmtId="3" fontId="12" fillId="5" borderId="68" xfId="0" applyNumberFormat="1" applyFont="1" applyFill="1" applyBorder="1" applyAlignment="1">
      <alignment vertical="center"/>
    </xf>
    <xf numFmtId="3" fontId="12" fillId="5" borderId="69" xfId="0" applyNumberFormat="1" applyFont="1" applyFill="1" applyBorder="1" applyAlignment="1">
      <alignment vertical="center"/>
    </xf>
    <xf numFmtId="3" fontId="12" fillId="3" borderId="50" xfId="0" applyNumberFormat="1" applyFont="1" applyFill="1" applyBorder="1" applyAlignment="1">
      <alignment vertical="center"/>
    </xf>
    <xf numFmtId="0" fontId="12" fillId="7" borderId="49" xfId="0" applyFont="1" applyFill="1" applyBorder="1" applyAlignment="1">
      <alignment horizontal="left" vertical="center"/>
    </xf>
    <xf numFmtId="0" fontId="12" fillId="7" borderId="50" xfId="0" applyFont="1" applyFill="1" applyBorder="1" applyAlignment="1">
      <alignment vertical="center" wrapText="1"/>
    </xf>
    <xf numFmtId="0" fontId="2" fillId="7" borderId="50" xfId="0" applyFont="1" applyFill="1" applyBorder="1" applyAlignment="1">
      <alignment vertical="center" wrapText="1"/>
    </xf>
    <xf numFmtId="3" fontId="12" fillId="7" borderId="67" xfId="0" applyNumberFormat="1" applyFont="1" applyFill="1" applyBorder="1" applyAlignment="1">
      <alignment vertical="center"/>
    </xf>
    <xf numFmtId="3" fontId="12" fillId="7" borderId="68" xfId="0" applyNumberFormat="1" applyFont="1" applyFill="1" applyBorder="1" applyAlignment="1">
      <alignment vertical="center"/>
    </xf>
    <xf numFmtId="3" fontId="12" fillId="7" borderId="69" xfId="0" applyNumberFormat="1" applyFont="1" applyFill="1" applyBorder="1" applyAlignment="1">
      <alignment vertical="center"/>
    </xf>
    <xf numFmtId="3" fontId="12" fillId="0" borderId="56" xfId="0" applyNumberFormat="1" applyFont="1" applyBorder="1" applyAlignment="1" applyProtection="1">
      <alignment vertical="center"/>
      <protection locked="0"/>
    </xf>
    <xf numFmtId="3" fontId="12" fillId="0" borderId="53" xfId="0" applyNumberFormat="1" applyFont="1" applyBorder="1" applyAlignment="1" applyProtection="1">
      <alignment vertical="center"/>
      <protection locked="0"/>
    </xf>
    <xf numFmtId="3" fontId="12" fillId="0" borderId="64" xfId="0" applyNumberFormat="1" applyFont="1" applyBorder="1" applyAlignment="1" applyProtection="1">
      <alignment vertical="center"/>
      <protection locked="0"/>
    </xf>
    <xf numFmtId="3" fontId="12" fillId="0" borderId="65" xfId="0" applyNumberFormat="1" applyFont="1" applyBorder="1" applyAlignment="1" applyProtection="1">
      <alignment vertical="center"/>
      <protection locked="0"/>
    </xf>
    <xf numFmtId="3" fontId="12" fillId="0" borderId="101" xfId="0" applyNumberFormat="1" applyFont="1" applyBorder="1" applyAlignment="1" applyProtection="1">
      <alignment vertical="center"/>
      <protection locked="0"/>
    </xf>
    <xf numFmtId="3" fontId="12" fillId="0" borderId="57" xfId="0" applyNumberFormat="1" applyFont="1" applyBorder="1" applyAlignment="1" applyProtection="1">
      <alignment vertical="center"/>
      <protection locked="0"/>
    </xf>
    <xf numFmtId="0" fontId="12" fillId="0" borderId="17" xfId="0" applyFont="1" applyBorder="1" applyAlignment="1">
      <alignment horizontal="center" vertical="center"/>
    </xf>
    <xf numFmtId="165" fontId="12" fillId="0" borderId="1" xfId="0" applyNumberFormat="1" applyFont="1" applyBorder="1" applyAlignment="1">
      <alignment horizontal="center" vertical="center"/>
    </xf>
    <xf numFmtId="165" fontId="12" fillId="0" borderId="18" xfId="0" applyNumberFormat="1" applyFont="1" applyBorder="1" applyAlignment="1">
      <alignment horizontal="center" vertical="center"/>
    </xf>
    <xf numFmtId="0" fontId="12" fillId="0" borderId="31" xfId="0" applyFont="1" applyBorder="1" applyAlignment="1">
      <alignment vertical="center"/>
    </xf>
    <xf numFmtId="0" fontId="12" fillId="0" borderId="35" xfId="0" applyFont="1" applyBorder="1" applyAlignment="1">
      <alignment vertical="center" wrapText="1"/>
    </xf>
    <xf numFmtId="0" fontId="12" fillId="0" borderId="34" xfId="0" applyFont="1" applyBorder="1" applyAlignment="1">
      <alignment horizontal="center" vertical="center"/>
    </xf>
    <xf numFmtId="3" fontId="12" fillId="3" borderId="31" xfId="0" applyNumberFormat="1" applyFont="1" applyFill="1" applyBorder="1" applyAlignment="1">
      <alignment vertical="center"/>
    </xf>
    <xf numFmtId="3" fontId="12" fillId="0" borderId="31" xfId="0" applyNumberFormat="1" applyFont="1" applyBorder="1" applyAlignment="1">
      <alignment vertical="center"/>
    </xf>
    <xf numFmtId="3" fontId="12" fillId="4" borderId="31" xfId="0" applyNumberFormat="1" applyFont="1" applyFill="1" applyBorder="1" applyAlignment="1">
      <alignment vertical="center"/>
    </xf>
    <xf numFmtId="3" fontId="12" fillId="0" borderId="35" xfId="0" applyNumberFormat="1" applyFont="1" applyBorder="1" applyAlignment="1">
      <alignment vertical="center"/>
    </xf>
    <xf numFmtId="3" fontId="12" fillId="0" borderId="79" xfId="0" applyNumberFormat="1" applyFont="1" applyBorder="1" applyAlignment="1">
      <alignment horizontal="right" vertical="center"/>
    </xf>
    <xf numFmtId="170" fontId="12" fillId="0" borderId="71" xfId="0" applyNumberFormat="1" applyFont="1" applyBorder="1" applyAlignment="1">
      <alignment horizontal="right" vertical="center"/>
    </xf>
    <xf numFmtId="169" fontId="12" fillId="0" borderId="71" xfId="0" applyNumberFormat="1" applyFont="1" applyBorder="1" applyAlignment="1">
      <alignment vertical="center"/>
    </xf>
    <xf numFmtId="169" fontId="12" fillId="0" borderId="83" xfId="0" applyNumberFormat="1" applyFont="1" applyBorder="1" applyAlignment="1">
      <alignment horizontal="right"/>
    </xf>
  </cellXfs>
  <cellStyles count="3">
    <cellStyle name="Link" xfId="2" builtinId="8"/>
    <cellStyle name="Standard" xfId="0" builtinId="0"/>
    <cellStyle name="Standard_STB-KOFI-MUSTER-BEISPIEL" xfId="1" xr:uid="{00000000-0005-0000-0000-000002000000}"/>
  </cellStyles>
  <dxfs count="278">
    <dxf>
      <font>
        <strike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medium">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169" formatCode="0.0%"/>
      <alignment horizontal="right" vertical="bottom" textRotation="0" wrapText="0" indent="0" justifyLastLine="0" shrinkToFit="0" readingOrder="0"/>
      <border diagonalUp="0" diagonalDown="0" outline="0">
        <left style="hair">
          <color auto="1"/>
        </left>
        <right style="medium">
          <color auto="1"/>
        </right>
        <top style="thick">
          <color auto="1"/>
        </top>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169" formatCode="0.0%"/>
      <alignment horizontal="general" vertical="center" textRotation="0" wrapText="0" indent="0" justifyLastLine="0" shrinkToFit="0" readingOrder="0"/>
      <border diagonalUp="0" diagonalDown="0" outline="0">
        <left style="hair">
          <color auto="1"/>
        </left>
        <right style="hair">
          <color auto="1"/>
        </right>
        <top style="thick">
          <color auto="1"/>
        </top>
        <bottom/>
      </border>
      <protection locked="1" hidden="0"/>
    </dxf>
    <dxf>
      <font>
        <strike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170" formatCode="\+\ #,##0_ ;\-\ #,##0\ "/>
      <alignment horizontal="right" vertical="center" textRotation="0" wrapText="0" indent="0" justifyLastLine="0" shrinkToFit="0" readingOrder="0"/>
      <border diagonalUp="0" diagonalDown="0" outline="0">
        <left style="hair">
          <color auto="1"/>
        </left>
        <right style="hair">
          <color auto="1"/>
        </right>
        <top style="thick">
          <color auto="1"/>
        </top>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medium">
          <color auto="1"/>
        </left>
        <right style="hair">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3" formatCode="#,##0"/>
      <alignment horizontal="right" vertical="center" textRotation="0" wrapText="0" indent="0" justifyLastLine="0" shrinkToFit="0" readingOrder="0"/>
      <border diagonalUp="0" diagonalDown="0" outline="0">
        <left style="medium">
          <color auto="1"/>
        </left>
        <right style="hair">
          <color auto="1"/>
        </right>
        <top style="thick">
          <color auto="1"/>
        </top>
        <bottom/>
      </border>
      <protection locked="1" hidden="0"/>
    </dxf>
    <dxf>
      <font>
        <strike val="0"/>
        <outline val="0"/>
        <shadow val="0"/>
        <u val="none"/>
        <vertAlign val="baseline"/>
        <sz val="11"/>
        <color theme="1"/>
        <name val="Calibri"/>
        <scheme val="minor"/>
      </font>
      <numFmt numFmtId="165" formatCode="m\/yy"/>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center" textRotation="0" wrapText="0" indent="0" justifyLastLine="0" shrinkToFit="0" readingOrder="0"/>
      <border diagonalUp="0" diagonalDown="0" outline="0">
        <left/>
        <right style="medium">
          <color auto="1"/>
        </right>
        <top style="thick">
          <color auto="1"/>
        </top>
        <bottom/>
      </border>
      <protection locked="1" hidden="0"/>
    </dxf>
    <dxf>
      <font>
        <strike val="0"/>
        <outline val="0"/>
        <shadow val="0"/>
        <u val="none"/>
        <vertAlign val="baseline"/>
        <sz val="11"/>
        <color theme="1"/>
        <name val="Calibri"/>
        <scheme val="minor"/>
      </font>
      <numFmt numFmtId="165" formatCode="m\/yy"/>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center" textRotation="0" wrapText="0" indent="0" justifyLastLine="0" shrinkToFit="0" readingOrder="0"/>
      <border diagonalUp="0" diagonalDown="0" outline="0">
        <left/>
        <right/>
        <top style="thick">
          <color auto="1"/>
        </top>
        <bottom/>
      </border>
      <protection locked="1" hidden="0"/>
    </dxf>
    <dxf>
      <font>
        <strike val="0"/>
        <outline val="0"/>
        <shadow val="0"/>
        <u val="none"/>
        <vertAlign val="baseline"/>
        <sz val="11"/>
        <color theme="1"/>
        <name val="Calibri"/>
        <scheme val="minor"/>
      </font>
      <numFmt numFmtId="165" formatCode="m\/yy"/>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center" textRotation="0" wrapText="0" indent="0" justifyLastLine="0" shrinkToFit="0" readingOrder="0"/>
      <border diagonalUp="0" diagonalDown="0" outline="0">
        <left/>
        <right/>
        <top style="thick">
          <color auto="1"/>
        </top>
        <bottom/>
      </border>
      <protection locked="1" hidden="0"/>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alignment horizontal="center" vertical="center" textRotation="0" wrapText="0" indent="0" justifyLastLine="0" shrinkToFit="0" readingOrder="0"/>
      <border diagonalUp="0" diagonalDown="0" outline="0">
        <left style="medium">
          <color auto="1"/>
        </left>
        <right/>
        <top style="thick">
          <color auto="1"/>
        </top>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fill>
        <patternFill patternType="solid">
          <fgColor indexed="64"/>
          <bgColor theme="7" tint="0.79998168889431442"/>
        </patternFill>
      </fill>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alignment vertical="center"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numFmt numFmtId="3" formatCode="#,##0"/>
      <fill>
        <patternFill patternType="solid">
          <fgColor indexed="64"/>
          <bgColor theme="9" tint="0.59999389629810485"/>
        </patternFill>
      </fill>
      <alignment vertical="center"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font>
        <strike val="0"/>
        <outline val="0"/>
        <shadow val="0"/>
        <u val="none"/>
        <vertAlign val="baseline"/>
        <sz val="11"/>
        <color theme="1"/>
        <name val="Calibri"/>
        <scheme val="minor"/>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style="thin">
          <color auto="1"/>
        </right>
        <top style="thick">
          <color auto="1"/>
        </top>
        <bottom style="medium">
          <color auto="1"/>
        </bottom>
      </border>
      <protection locked="1" hidden="0"/>
    </dxf>
    <dxf>
      <font>
        <b val="0"/>
        <i val="0"/>
        <strike val="0"/>
        <condense val="0"/>
        <extend val="0"/>
        <outline val="0"/>
        <shadow val="0"/>
        <u val="none"/>
        <vertAlign val="baseline"/>
        <sz val="11"/>
        <color theme="1"/>
        <name val="Calibri"/>
        <scheme val="minor"/>
      </font>
      <numFmt numFmtId="0" formatCode="Genera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style="thin">
          <color auto="1"/>
        </left>
        <right/>
        <top style="thick">
          <color auto="1"/>
        </top>
        <bottom style="medium">
          <color auto="1"/>
        </bottom>
      </border>
      <protection locked="1" hidden="0"/>
    </dxf>
    <dxf>
      <font>
        <strike val="0"/>
        <outline val="0"/>
        <shadow val="0"/>
        <u val="none"/>
        <vertAlign val="baseline"/>
        <sz val="11"/>
        <color theme="1"/>
        <name val="Calibri"/>
        <scheme val="minor"/>
      </font>
      <alignment vertical="center"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border diagonalUp="0" diagonalDown="0" outline="0">
        <left style="thin">
          <color auto="1"/>
        </left>
        <right style="thin">
          <color auto="1"/>
        </right>
        <top style="thick">
          <color auto="1"/>
        </top>
        <bottom style="medium">
          <color auto="1"/>
        </bottom>
      </border>
      <protection locked="1" hidden="0"/>
    </dxf>
    <dxf>
      <border>
        <top style="thick">
          <color auto="1"/>
        </top>
      </border>
    </dxf>
    <dxf>
      <border outline="0">
        <bottom style="thin">
          <color auto="1"/>
        </bottom>
      </border>
    </dxf>
    <dxf>
      <border outline="0">
        <left style="thin">
          <color auto="1"/>
        </left>
        <right style="thin">
          <color auto="1"/>
        </right>
        <top style="thin">
          <color auto="1"/>
        </top>
        <bottom style="thin">
          <color auto="1"/>
        </bottom>
      </border>
    </dxf>
    <dxf>
      <numFmt numFmtId="30" formatCode="@"/>
      <border diagonalUp="0" diagonalDown="0">
        <left style="thin">
          <color auto="1"/>
        </left>
        <right style="thin">
          <color auto="1"/>
        </right>
        <top/>
        <bottom/>
        <vertical style="thin">
          <color auto="1"/>
        </vertical>
        <horizontal/>
      </border>
      <protection locked="1" hidden="0"/>
    </dxf>
    <dxf>
      <font>
        <strike val="0"/>
        <outline val="0"/>
        <shadow val="0"/>
        <u val="none"/>
        <vertAlign val="baseline"/>
        <sz val="11"/>
        <color theme="1"/>
        <name val="Calibri"/>
        <scheme val="minor"/>
      </font>
      <numFmt numFmtId="30" formatCode="@"/>
      <alignment vertical="center" indent="0" justifyLastLine="0" shrinkToFit="0" readingOrder="0"/>
      <protection locked="1" hidden="0"/>
    </dxf>
    <dxf>
      <font>
        <b val="0"/>
        <i/>
        <strike val="0"/>
        <condense val="0"/>
        <extend val="0"/>
        <outline val="0"/>
        <shadow val="0"/>
        <u val="none"/>
        <vertAlign val="baseline"/>
        <sz val="8"/>
        <color auto="1"/>
        <name val="Calibri"/>
        <scheme val="minor"/>
      </font>
      <numFmt numFmtId="30"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bottom/>
      </border>
      <protection locked="1" hidden="0"/>
    </dxf>
    <dxf>
      <fill>
        <patternFill>
          <bgColor rgb="FFFF0000"/>
        </patternFill>
      </fill>
    </dxf>
    <dxf>
      <font>
        <color rgb="FFFF0000"/>
      </font>
    </dxf>
    <dxf>
      <font>
        <color auto="1"/>
      </font>
    </dxf>
    <dxf>
      <font>
        <b/>
        <i val="0"/>
        <strike val="0"/>
      </font>
    </dxf>
    <dxf>
      <font>
        <b/>
        <i val="0"/>
        <strike val="0"/>
      </font>
    </dxf>
    <dxf>
      <fill>
        <patternFill>
          <bgColor theme="5" tint="0.79998168889431442"/>
        </patternFill>
      </fill>
    </dxf>
    <dxf>
      <font>
        <color theme="1"/>
      </font>
    </dxf>
    <dxf>
      <font>
        <color theme="0"/>
      </font>
    </dxf>
    <dxf>
      <fill>
        <patternFill>
          <bgColor rgb="FFFF505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5050"/>
        </patternFill>
      </fill>
    </dxf>
    <dxf>
      <fill>
        <patternFill>
          <bgColor rgb="FFFF5050"/>
        </patternFill>
      </fill>
    </dxf>
    <dxf>
      <fill>
        <patternFill>
          <bgColor rgb="FFFF5050"/>
        </patternFill>
      </fill>
    </dxf>
    <dxf>
      <fill>
        <patternFill>
          <bgColor theme="5" tint="0.79998168889431442"/>
        </patternFill>
      </fill>
    </dxf>
    <dxf>
      <font>
        <color theme="1"/>
      </font>
    </dxf>
    <dxf>
      <fill>
        <patternFill>
          <bgColor rgb="FFFF5050"/>
        </patternFill>
      </fill>
    </dxf>
    <dxf>
      <font>
        <color auto="1"/>
      </font>
    </dxf>
    <dxf>
      <fill>
        <patternFill>
          <bgColor rgb="FFFF5050"/>
        </patternFill>
      </fill>
    </dxf>
    <dxf>
      <fill>
        <patternFill>
          <bgColor rgb="FFFF0000"/>
        </patternFill>
      </fill>
    </dxf>
    <dxf>
      <font>
        <strike val="0"/>
        <color theme="1"/>
      </font>
    </dxf>
    <dxf>
      <font>
        <strike val="0"/>
        <color theme="1"/>
      </font>
    </dxf>
    <dxf>
      <font>
        <color auto="1"/>
      </font>
    </dxf>
    <dxf>
      <fill>
        <patternFill>
          <bgColor rgb="FFFF5050"/>
        </patternFill>
      </fill>
    </dxf>
    <dxf>
      <font>
        <color auto="1"/>
      </font>
    </dxf>
    <dxf>
      <fill>
        <patternFill>
          <bgColor rgb="FFFF0000"/>
        </patternFill>
      </fill>
    </dxf>
    <dxf>
      <fill>
        <patternFill>
          <bgColor rgb="FFFF5050"/>
        </patternFill>
      </fill>
    </dxf>
    <dxf>
      <font>
        <strike val="0"/>
        <color theme="1"/>
      </font>
    </dxf>
    <dxf>
      <fill>
        <patternFill>
          <bgColor theme="7" tint="0.79998168889431442"/>
        </patternFill>
      </fill>
    </dxf>
    <dxf>
      <fill>
        <patternFill>
          <bgColor theme="4" tint="0.59996337778862885"/>
        </patternFill>
      </fill>
    </dxf>
    <dxf>
      <border>
        <right style="hair">
          <color auto="1"/>
        </right>
        <vertical/>
        <horizontal/>
      </border>
    </dxf>
    <dxf>
      <fill>
        <patternFill>
          <bgColor theme="0"/>
        </patternFill>
      </fill>
      <border>
        <left style="hair">
          <color auto="1"/>
        </left>
        <right style="thin">
          <color auto="1"/>
        </right>
        <top style="thin">
          <color auto="1"/>
        </top>
        <bottom style="thin">
          <color auto="1"/>
        </bottom>
        <vertical/>
        <horizontal/>
      </border>
    </dxf>
    <dxf>
      <fill>
        <patternFill>
          <bgColor theme="0" tint="-0.14996795556505021"/>
        </patternFill>
      </fill>
    </dxf>
    <dxf>
      <font>
        <b val="0"/>
        <i val="0"/>
        <strike val="0"/>
        <condense val="0"/>
        <extend val="0"/>
        <outline val="0"/>
        <shadow val="0"/>
        <u val="none"/>
        <vertAlign val="baseline"/>
        <sz val="11"/>
        <color theme="1"/>
        <name val="Calibri"/>
        <scheme val="minor"/>
      </font>
      <numFmt numFmtId="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auto="1"/>
        </left>
        <right style="thin">
          <color auto="1"/>
        </right>
        <top style="thick">
          <color auto="1"/>
        </top>
        <bottom style="thick">
          <color auto="1"/>
        </bottom>
      </border>
      <protection locked="1" hidden="0"/>
    </dxf>
    <dxf>
      <border diagonalUp="0" diagonalDown="0">
        <left style="hair">
          <color auto="1"/>
        </left>
        <right style="thin">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thin">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hair">
          <color auto="1"/>
        </right>
        <top style="thick">
          <color auto="1"/>
        </top>
        <bottom style="thick">
          <color auto="1"/>
        </bottom>
      </border>
      <protection locked="1" hidden="0"/>
    </dxf>
    <dxf>
      <border diagonalUp="0" diagonalDown="0">
        <left style="thin">
          <color auto="1"/>
        </left>
        <right style="hair">
          <color auto="1"/>
        </right>
        <top style="thin">
          <color auto="1"/>
        </top>
        <bottom style="thin">
          <color auto="1"/>
        </bottom>
        <vertical style="hair">
          <color auto="1"/>
        </vertical>
        <horizontal style="thin">
          <color auto="1"/>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numFmt numFmtId="30" formatCode="@"/>
      <border outline="0">
        <left style="thin">
          <color auto="1"/>
        </left>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left" vertical="center" textRotation="0" wrapText="0" indent="0" justifyLastLine="0" shrinkToFit="0" readingOrder="0"/>
      <border diagonalUp="0" diagonalDown="0" outline="0">
        <left/>
        <right style="thin">
          <color auto="1"/>
        </right>
        <top style="thick">
          <color auto="1"/>
        </top>
        <bottom style="thick">
          <color auto="1"/>
        </bottom>
      </border>
      <protection locked="1" hidden="0"/>
    </dxf>
    <dxf>
      <border>
        <top style="thick">
          <color auto="1"/>
        </top>
      </border>
    </dxf>
    <dxf>
      <border>
        <bottom style="thin">
          <color auto="1"/>
        </bottom>
      </border>
    </dxf>
    <dxf>
      <border diagonalUp="0" diagonalDown="0">
        <left style="thin">
          <color auto="1"/>
        </left>
        <right style="thin">
          <color auto="1"/>
        </right>
        <top style="thin">
          <color auto="1"/>
        </top>
        <bottom style="thin">
          <color auto="1"/>
        </bottom>
      </border>
    </dxf>
    <dxf>
      <numFmt numFmtId="30" formatCode="@"/>
      <fill>
        <patternFill>
          <fgColor rgb="FF000000"/>
          <bgColor rgb="FFD9D9D9"/>
        </patternFill>
      </fill>
      <alignment vertical="center" textRotation="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rgb="FF000000"/>
        <name val="Calibri"/>
        <scheme val="none"/>
      </font>
      <numFmt numFmtId="30" formatCode="@"/>
      <alignment horizontal="general" vertical="center" textRotation="0" wrapText="0" indent="0" justifyLastLine="0" shrinkToFit="0" readingOrder="0"/>
      <protection locked="1" hidden="0"/>
    </dxf>
    <dxf>
      <font>
        <b val="0"/>
        <i/>
        <strike val="0"/>
        <condense val="0"/>
        <extend val="0"/>
        <outline val="0"/>
        <shadow val="0"/>
        <u val="none"/>
        <vertAlign val="baseline"/>
        <sz val="8"/>
        <color auto="1"/>
        <name val="Calibri"/>
        <scheme val="minor"/>
      </font>
      <numFmt numFmtId="30"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
      <fill>
        <patternFill>
          <bgColor theme="7" tint="0.79998168889431442"/>
        </patternFill>
      </fill>
    </dxf>
    <dxf>
      <font>
        <b val="0"/>
        <i val="0"/>
        <strike val="0"/>
        <condense val="0"/>
        <extend val="0"/>
        <outline val="0"/>
        <shadow val="0"/>
        <u val="none"/>
        <vertAlign val="baseline"/>
        <sz val="11"/>
        <color theme="1"/>
        <name val="Calibri"/>
        <scheme val="minor"/>
      </font>
      <numFmt numFmtId="3" formatCode="#,##0"/>
      <fill>
        <patternFill patternType="solid">
          <fgColor indexed="64"/>
          <bgColor theme="9" tint="0.59999389629810485"/>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auto="1"/>
        </left>
        <right style="thin">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thin">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thin">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fill>
        <patternFill patternType="none">
          <fgColor indexed="64"/>
          <bgColor auto="1"/>
        </patternFill>
      </fill>
      <alignment horizontal="general" vertical="center" textRotation="0" wrapText="0" indent="0" justifyLastLine="0" shrinkToFit="0" readingOrder="0"/>
      <border diagonalUp="0" diagonalDown="0">
        <left style="hair">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numFmt numFmtId="3" formatCode="#,##0"/>
      <alignment horizontal="general" vertical="center" textRotation="0" wrapText="0" indent="0" justifyLastLine="0" shrinkToFit="0" readingOrder="0"/>
      <border diagonalUp="0" diagonalDown="0">
        <left style="thin">
          <color auto="1"/>
        </left>
        <right style="hair">
          <color auto="1"/>
        </right>
        <top/>
        <bottom/>
        <vertical style="hair">
          <color auto="1"/>
        </vertical>
        <horizontal/>
      </border>
      <protection locked="0"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6795556505021"/>
        </patternFill>
      </fill>
      <alignment horizontal="general" vertical="center" textRotation="0" wrapText="0" indent="0" justifyLastLine="0" shrinkToFit="0" readingOrder="0"/>
      <border diagonalUp="0" diagonalDown="0" outline="0">
        <left style="thin">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font>
        <b val="0"/>
        <i val="0"/>
        <strike val="0"/>
        <condense val="0"/>
        <extend val="0"/>
        <outline val="0"/>
        <shadow val="0"/>
        <u val="none"/>
        <vertAlign val="baseline"/>
        <sz val="11"/>
        <color theme="1"/>
        <name val="Calibri"/>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theme="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fill>
        <patternFill patternType="solid">
          <fgColor indexed="64"/>
          <bgColor theme="0" tint="-0.14999847407452621"/>
        </patternFill>
      </fill>
      <alignment vertical="center" textRotation="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solid">
          <fgColor indexed="64"/>
          <bgColor theme="0" tint="-0.14996795556505021"/>
        </patternFill>
      </fill>
      <alignment horizontal="left" vertical="center" textRotation="0" wrapText="0" indent="0" justifyLastLine="0" shrinkToFit="0" readingOrder="0"/>
      <border diagonalUp="0" diagonalDown="0" outline="0">
        <left/>
        <right style="thin">
          <color auto="1"/>
        </right>
        <top style="thick">
          <color auto="1"/>
        </top>
        <bottom style="thick">
          <color auto="1"/>
        </bottom>
      </border>
      <protection locked="1" hidden="0"/>
    </dxf>
    <dxf>
      <border>
        <top style="thick">
          <color auto="1"/>
        </top>
      </border>
    </dxf>
    <dxf>
      <border>
        <bottom style="thin">
          <color auto="1"/>
        </bottom>
      </border>
    </dxf>
    <dxf>
      <border diagonalUp="0" diagonalDown="0">
        <left style="thin">
          <color auto="1"/>
        </left>
        <right style="thin">
          <color auto="1"/>
        </right>
        <top style="thin">
          <color auto="1"/>
        </top>
        <bottom style="thin">
          <color auto="1"/>
        </bottom>
      </border>
    </dxf>
    <dxf>
      <numFmt numFmtId="30" formatCode="@"/>
      <alignment vertical="center" textRotation="0" justifyLastLine="0" shrinkToFit="0" readingOrder="0"/>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11"/>
        <color rgb="FF000000"/>
        <name val="Calibri"/>
        <scheme val="none"/>
      </font>
      <numFmt numFmtId="30" formatCode="@"/>
      <alignment horizontal="general" vertical="center" textRotation="0" wrapText="0" indent="0" justifyLastLine="0" shrinkToFit="0" readingOrder="0"/>
      <protection locked="1" hidden="0"/>
    </dxf>
    <dxf>
      <font>
        <b val="0"/>
        <i/>
        <strike val="0"/>
        <condense val="0"/>
        <extend val="0"/>
        <outline val="0"/>
        <shadow val="0"/>
        <u val="none"/>
        <vertAlign val="baseline"/>
        <sz val="8"/>
        <color auto="1"/>
        <name val="Calibri"/>
        <scheme val="minor"/>
      </font>
      <numFmt numFmtId="30"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3" formatCode="#,##0"/>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auto="1"/>
        </left>
        <right style="thin">
          <color auto="1"/>
        </right>
        <top style="thick">
          <color auto="1"/>
        </top>
        <bottom style="thick">
          <color auto="1"/>
        </bottom>
      </border>
      <protection locked="1" hidden="0"/>
    </dxf>
    <dxf>
      <border diagonalUp="0" diagonalDown="0">
        <left style="hair">
          <color auto="1"/>
        </left>
        <right style="thin">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thin">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hair">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hair">
          <color auto="1"/>
        </left>
        <right style="hair">
          <color auto="1"/>
        </right>
        <top style="thick">
          <color auto="1"/>
        </top>
        <bottom style="thick">
          <color auto="1"/>
        </bottom>
      </border>
      <protection locked="1" hidden="0"/>
    </dxf>
    <dxf>
      <border diagonalUp="0" diagonalDown="0">
        <left style="thin">
          <color auto="1"/>
        </left>
        <right style="hair">
          <color auto="1"/>
        </right>
        <top/>
        <bottom/>
        <vertical style="hair">
          <color auto="1"/>
        </vertical>
        <horizontal/>
      </border>
    </dxf>
    <dxf>
      <font>
        <b val="0"/>
        <i val="0"/>
        <strike val="0"/>
        <condense val="0"/>
        <extend val="0"/>
        <outline val="0"/>
        <shadow val="0"/>
        <u val="none"/>
        <vertAlign val="baseline"/>
        <sz val="11"/>
        <color theme="1"/>
        <name val="Calibri"/>
        <scheme val="minor"/>
      </font>
      <numFmt numFmtId="3" formatCode="#,##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auto="1"/>
        </left>
        <right style="hair">
          <color auto="1"/>
        </right>
        <top style="thick">
          <color auto="1"/>
        </top>
        <bottom style="thick">
          <color auto="1"/>
        </bottom>
      </border>
      <protection locked="1" hidden="0"/>
    </dxf>
    <dxf>
      <font>
        <b val="0"/>
        <i val="0"/>
        <strike val="0"/>
        <condense val="0"/>
        <extend val="0"/>
        <outline val="0"/>
        <shadow val="0"/>
        <u val="none"/>
        <vertAlign val="baseline"/>
        <sz val="11"/>
        <color auto="1"/>
        <name val="Calibri"/>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border outline="0">
        <left style="thin">
          <color auto="1"/>
        </left>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auto="1"/>
        </left>
        <right style="thin">
          <color auto="1"/>
        </right>
        <top style="thick">
          <color auto="1"/>
        </top>
        <bottom style="thick">
          <color auto="1"/>
        </bottom>
      </border>
      <protection locked="1" hidden="0"/>
    </dxf>
    <dxf>
      <fill>
        <patternFill patternType="solid">
          <fgColor indexed="64"/>
          <bgColor theme="0" tint="-0.14999847407452621"/>
        </patternFill>
      </fill>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left" vertical="center" textRotation="0" wrapText="0" indent="0" justifyLastLine="0" shrinkToFit="0" readingOrder="0"/>
      <border diagonalUp="0" diagonalDown="0" outline="0">
        <left/>
        <right style="thin">
          <color auto="1"/>
        </right>
        <top style="thick">
          <color auto="1"/>
        </top>
        <bottom style="thick">
          <color auto="1"/>
        </bottom>
      </border>
      <protection locked="1" hidden="0"/>
    </dxf>
    <dxf>
      <border>
        <top style="thick">
          <color auto="1"/>
        </top>
      </border>
    </dxf>
    <dxf>
      <border>
        <bottom style="thin">
          <color auto="1"/>
        </bottom>
      </border>
    </dxf>
    <dxf>
      <border diagonalUp="0" diagonalDown="0">
        <left style="thin">
          <color auto="1"/>
        </left>
        <right style="thin">
          <color auto="1"/>
        </right>
        <top style="thin">
          <color auto="1"/>
        </top>
        <bottom style="thin">
          <color auto="1"/>
        </bottom>
      </border>
    </dxf>
    <dxf>
      <numFmt numFmtId="30" formatCode="@"/>
      <fill>
        <patternFill>
          <fgColor indexed="64"/>
          <bgColor theme="0" tint="-0.14999847407452621"/>
        </patternFill>
      </fill>
      <alignment vertical="center" textRotation="0" justifyLastLine="0" shrinkToFit="0"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theme="1"/>
        <name val="Calibri"/>
        <scheme val="minor"/>
      </font>
      <numFmt numFmtId="30" formatCode="@"/>
      <alignment horizontal="general" vertical="center" textRotation="0" wrapText="0" indent="0" justifyLastLine="0" shrinkToFit="0" readingOrder="0"/>
      <protection locked="1" hidden="0"/>
    </dxf>
    <dxf>
      <font>
        <b val="0"/>
        <i/>
        <strike val="0"/>
        <condense val="0"/>
        <extend val="0"/>
        <outline val="0"/>
        <shadow val="0"/>
        <u val="none"/>
        <vertAlign val="baseline"/>
        <sz val="8"/>
        <color auto="1"/>
        <name val="Calibri"/>
        <scheme val="minor"/>
      </font>
      <numFmt numFmtId="30" formatCode="@"/>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
      <fill>
        <patternFill>
          <bgColor theme="7" tint="0.79998168889431442"/>
        </patternFill>
      </fill>
    </dxf>
    <dxf>
      <fill>
        <patternFill>
          <bgColor theme="7" tint="0.79998168889431442"/>
        </patternFill>
      </fill>
    </dxf>
    <dxf>
      <numFmt numFmtId="169" formatCode="0.0%"/>
      <fill>
        <patternFill patternType="solid">
          <fgColor indexed="64"/>
          <bgColor theme="0" tint="-0.14999847407452621"/>
        </patternFill>
      </fill>
      <alignment vertical="center" textRotation="0" indent="0" justifyLastLine="0" shrinkToFit="0" readingOrder="0"/>
      <border diagonalUp="0" diagonalDown="0" outline="0">
        <left style="thin">
          <color auto="1"/>
        </left>
        <right style="thin">
          <color auto="1"/>
        </right>
        <top style="thin">
          <color auto="1"/>
        </top>
        <bottom style="thin">
          <color auto="1"/>
        </bottom>
      </border>
    </dxf>
    <dxf>
      <numFmt numFmtId="169" formatCode="0.0%"/>
      <fill>
        <patternFill patternType="solid">
          <fgColor indexed="64"/>
          <bgColor theme="0" tint="-0.14999847407452621"/>
        </patternFill>
      </fill>
      <border diagonalUp="0" diagonalDown="0" outline="0">
        <left style="thin">
          <color auto="1"/>
        </left>
        <right style="thin">
          <color auto="1"/>
        </right>
        <top style="medium">
          <color auto="1"/>
        </top>
        <bottom style="thin">
          <color auto="1"/>
        </bottom>
      </border>
    </dxf>
    <dxf>
      <numFmt numFmtId="169" formatCode="0.0%"/>
      <fill>
        <patternFill patternType="solid">
          <fgColor indexed="64"/>
          <bgColor theme="0" tint="-0.14999847407452621"/>
        </patternFill>
      </fill>
      <alignment vertical="center" textRotation="0" indent="0" justifyLastLine="0" shrinkToFit="0" readingOrder="0"/>
      <border diagonalUp="0" diagonalDown="0">
        <left style="thin">
          <color auto="1"/>
        </left>
        <right style="thin">
          <color auto="1"/>
        </right>
        <top style="thin">
          <color auto="1"/>
        </top>
        <bottom style="thin">
          <color auto="1"/>
        </bottom>
      </border>
    </dxf>
    <dxf>
      <numFmt numFmtId="169" formatCode="0.0%"/>
      <fill>
        <patternFill patternType="solid">
          <fgColor indexed="64"/>
          <bgColor theme="0" tint="-0.14999847407452621"/>
        </patternFill>
      </fill>
      <border diagonalUp="0" diagonalDown="0" outline="0">
        <left style="thin">
          <color auto="1"/>
        </left>
        <right style="thin">
          <color auto="1"/>
        </right>
        <top style="medium">
          <color auto="1"/>
        </top>
        <bottom style="thin">
          <color auto="1"/>
        </bottom>
      </border>
    </dxf>
    <dxf>
      <numFmt numFmtId="170" formatCode="\+\ #,##0_ ;\-\ #,##0\ "/>
      <fill>
        <patternFill patternType="solid">
          <fgColor indexed="64"/>
          <bgColor theme="0" tint="-0.14999847407452621"/>
        </patternFill>
      </fill>
      <alignment vertical="center" textRotation="0" indent="0" justifyLastLine="0" shrinkToFit="0" readingOrder="0"/>
      <border diagonalUp="0" diagonalDown="0" outline="0">
        <left style="thin">
          <color auto="1"/>
        </left>
        <right style="thin">
          <color auto="1"/>
        </right>
        <top style="thin">
          <color auto="1"/>
        </top>
        <bottom style="thin">
          <color auto="1"/>
        </bottom>
      </border>
    </dxf>
    <dxf>
      <numFmt numFmtId="170" formatCode="\+\ #,##0_ ;\-\ #,##0\ "/>
      <fill>
        <patternFill patternType="solid">
          <fgColor indexed="64"/>
          <bgColor theme="0" tint="-0.14999847407452621"/>
        </patternFill>
      </fill>
      <border diagonalUp="0" diagonalDown="0" outline="0">
        <left style="thin">
          <color auto="1"/>
        </left>
        <right style="thin">
          <color auto="1"/>
        </right>
        <top style="medium">
          <color auto="1"/>
        </top>
        <bottom style="thin">
          <color auto="1"/>
        </bottom>
      </border>
    </dxf>
    <dxf>
      <numFmt numFmtId="3" formatCode="#,##0"/>
      <fill>
        <patternFill patternType="solid">
          <fgColor indexed="64"/>
          <bgColor theme="9" tint="0.59999389629810485"/>
        </patternFill>
      </fill>
      <alignment vertical="center" textRotation="0" indent="0" justifyLastLine="0" shrinkToFit="0" readingOrder="0"/>
      <border diagonalUp="0" diagonalDown="0" outline="0">
        <left style="thin">
          <color auto="1"/>
        </left>
        <right style="thin">
          <color auto="1"/>
        </right>
        <top style="thin">
          <color auto="1"/>
        </top>
        <bottom style="thin">
          <color auto="1"/>
        </bottom>
      </border>
    </dxf>
    <dxf>
      <numFmt numFmtId="3" formatCode="#,##0"/>
      <fill>
        <patternFill patternType="solid">
          <fgColor indexed="64"/>
          <bgColor theme="9" tint="0.59999389629810485"/>
        </patternFill>
      </fill>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numFmt numFmtId="3" formatCode="#,##0"/>
      <border diagonalUp="0" diagonalDown="0" outline="0">
        <left style="thin">
          <color auto="1"/>
        </left>
        <right style="thin">
          <color auto="1"/>
        </right>
        <top style="medium">
          <color auto="1"/>
        </top>
        <bottom style="thin">
          <color auto="1"/>
        </bottom>
      </border>
    </dxf>
    <dxf>
      <numFmt numFmtId="3" formatCode="#,##0"/>
      <alignment vertical="center" textRotation="0" indent="0" justifyLastLine="0" shrinkToFit="0" readingOrder="0"/>
      <border diagonalUp="0" diagonalDown="0">
        <left style="thick">
          <color auto="1"/>
        </left>
        <right/>
        <top/>
        <bottom/>
        <vertical/>
        <horizontal/>
      </border>
      <protection locked="0" hidden="0"/>
    </dxf>
    <dxf>
      <numFmt numFmtId="3" formatCode="#,##0"/>
      <border diagonalUp="0" diagonalDown="0" outline="0">
        <left/>
        <right style="thin">
          <color auto="1"/>
        </right>
        <top style="medium">
          <color auto="1"/>
        </top>
        <bottom style="thin">
          <color auto="1"/>
        </bottom>
      </border>
    </dxf>
    <dxf>
      <numFmt numFmtId="3" formatCode="#,##0"/>
      <fill>
        <patternFill patternType="solid">
          <fgColor indexed="64"/>
          <bgColor theme="0" tint="-0.14999847407452621"/>
        </patternFill>
      </fill>
      <alignment vertical="center" textRotation="0" indent="0" justifyLastLine="0" shrinkToFit="0" readingOrder="0"/>
      <border diagonalUp="0" diagonalDown="0">
        <left style="thin">
          <color auto="1"/>
        </left>
        <right style="medium">
          <color auto="1"/>
        </right>
        <top/>
        <bottom/>
      </border>
      <protection locked="1" hidden="0"/>
    </dxf>
    <dxf>
      <numFmt numFmtId="3" formatCode="#,##0"/>
      <fill>
        <patternFill patternType="solid">
          <fgColor indexed="64"/>
          <bgColor theme="0" tint="-0.14999847407452621"/>
        </patternFill>
      </fill>
      <border diagonalUp="0" diagonalDown="0" outline="0">
        <left style="thin">
          <color auto="1"/>
        </left>
        <right style="medium">
          <color auto="1"/>
        </right>
        <top style="medium">
          <color auto="1"/>
        </top>
        <bottom style="thin">
          <color auto="1"/>
        </bottom>
      </border>
    </dxf>
    <dxf>
      <numFmt numFmtId="3" formatCode="#,##0"/>
      <fill>
        <patternFill patternType="solid">
          <fgColor indexed="64"/>
          <bgColor theme="0" tint="-0.14999847407452621"/>
        </patternFill>
      </fill>
      <alignment vertical="center" textRotation="0" indent="0" justifyLastLine="0" shrinkToFit="0" readingOrder="0"/>
      <border diagonalUp="0" diagonalDown="0">
        <left/>
        <right style="thin">
          <color auto="1"/>
        </right>
        <top/>
        <bottom/>
      </border>
      <protection locked="1" hidden="0"/>
    </dxf>
    <dxf>
      <numFmt numFmtId="3" formatCode="#,##0"/>
      <fill>
        <patternFill patternType="solid">
          <fgColor indexed="64"/>
          <bgColor theme="0" tint="-0.14999847407452621"/>
        </patternFill>
      </fill>
      <border diagonalUp="0" diagonalDown="0" outline="0">
        <left style="medium">
          <color auto="1"/>
        </left>
        <right style="thin">
          <color auto="1"/>
        </right>
        <top style="medium">
          <color auto="1"/>
        </top>
        <bottom style="thin">
          <color auto="1"/>
        </bottom>
      </border>
    </dxf>
    <dxf>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auto="1"/>
        </top>
        <bottom style="thin">
          <color auto="1"/>
        </bottom>
      </border>
      <protection locked="1" hidden="0"/>
    </dxf>
    <dxf>
      <numFmt numFmtId="171" formatCode="0.0"/>
      <fill>
        <patternFill patternType="solid">
          <fgColor indexed="64"/>
          <bgColor theme="0" tint="-0.14999847407452621"/>
        </patternFill>
      </fill>
      <border diagonalUp="0" diagonalDown="0" outline="0">
        <left style="thin">
          <color auto="1"/>
        </left>
        <right/>
        <top style="medium">
          <color auto="1"/>
        </top>
        <bottom style="thin">
          <color auto="1"/>
        </bottom>
      </border>
    </dxf>
    <dxf>
      <numFmt numFmtId="3" formatCode="#,##0"/>
      <alignment vertical="center" textRotation="0" indent="0" justifyLastLine="0" shrinkToFit="0" readingOrder="0"/>
      <border diagonalUp="0" diagonalDown="0">
        <left style="medium">
          <color auto="1"/>
        </left>
        <right style="thin">
          <color auto="1"/>
        </right>
        <top style="thin">
          <color auto="1"/>
        </top>
        <bottom style="thin">
          <color auto="1"/>
        </bottom>
      </border>
      <protection locked="0" hidden="0"/>
    </dxf>
    <dxf>
      <numFmt numFmtId="3" formatCode="#,##0"/>
      <border diagonalUp="0" diagonalDown="0" outline="0">
        <left style="medium">
          <color auto="1"/>
        </left>
        <right style="thin">
          <color auto="1"/>
        </right>
        <top style="medium">
          <color auto="1"/>
        </top>
        <bottom style="thin">
          <color auto="1"/>
        </bottom>
      </border>
    </dxf>
    <dxf>
      <numFmt numFmtId="165" formatCode="m\/yy"/>
      <alignment horizontal="center" vertical="center" textRotation="0" wrapText="0" indent="0" justifyLastLine="0" shrinkToFit="0" readingOrder="0"/>
      <border diagonalUp="0" diagonalDown="0">
        <left/>
        <right style="medium">
          <color auto="1"/>
        </right>
        <top style="thin">
          <color auto="1"/>
        </top>
        <bottom style="thin">
          <color auto="1"/>
        </bottom>
        <vertical/>
        <horizontal style="thin">
          <color auto="1"/>
        </horizontal>
      </border>
      <protection locked="0" hidden="0"/>
    </dxf>
    <dxf>
      <border diagonalUp="0" diagonalDown="0" outline="0">
        <left/>
        <right/>
        <top style="medium">
          <color auto="1"/>
        </top>
        <bottom/>
      </border>
    </dxf>
    <dxf>
      <numFmt numFmtId="165" formatCode="m\/yy"/>
      <alignment horizontal="center" vertical="center"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border diagonalUp="0" diagonalDown="0" outline="0">
        <left/>
        <right/>
        <top style="medium">
          <color auto="1"/>
        </top>
        <bottom/>
      </border>
    </dxf>
    <dxf>
      <numFmt numFmtId="165" formatCode="m\/yy"/>
      <alignment horizontal="center" vertical="center"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border diagonalUp="0" diagonalDown="0" outline="0">
        <left/>
        <right/>
        <top style="medium">
          <color auto="1"/>
        </top>
        <bottom/>
      </border>
    </dxf>
    <dxf>
      <alignment horizontal="center" vertical="center" textRotation="0" wrapText="0" indent="0" justifyLastLine="0" shrinkToFit="0" readingOrder="0"/>
      <border diagonalUp="0" diagonalDown="0">
        <left style="medium">
          <color auto="1"/>
        </left>
        <right/>
        <top style="thin">
          <color auto="1"/>
        </top>
        <bottom style="thin">
          <color auto="1"/>
        </bottom>
        <vertical/>
        <horizontal style="thin">
          <color auto="1"/>
        </horizontal>
      </border>
      <protection locked="0" hidden="0"/>
    </dxf>
    <dxf>
      <border diagonalUp="0" diagonalDown="0" outline="0">
        <left/>
        <right/>
        <top style="medium">
          <color auto="1"/>
        </top>
        <bottom/>
      </border>
    </dxf>
    <dxf>
      <alignment vertical="center" textRotation="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outline="0">
        <left/>
        <right/>
        <top style="medium">
          <color auto="1"/>
        </top>
        <bottom/>
      </border>
    </dxf>
    <dxf>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border diagonalUp="0" diagonalDown="0" outline="0">
        <left/>
        <right/>
        <top style="medium">
          <color auto="1"/>
        </top>
        <bottom/>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outline="0">
        <left/>
        <right/>
        <top style="medium">
          <color auto="1"/>
        </top>
        <bottom/>
      </border>
    </dxf>
    <dxf>
      <border>
        <top style="medium">
          <color auto="1"/>
        </top>
      </border>
    </dxf>
    <dxf>
      <border outline="0">
        <bottom style="thin">
          <color auto="1"/>
        </bottom>
      </border>
    </dxf>
    <dxf>
      <border outline="0">
        <top style="thin">
          <color auto="1"/>
        </top>
      </border>
    </dxf>
    <dxf>
      <alignment vertical="center" textRotation="0" indent="0" justifyLastLine="0" shrinkToFit="0" readingOrder="0"/>
    </dxf>
    <dxf>
      <font>
        <b val="0"/>
        <i/>
        <strike val="0"/>
        <condense val="0"/>
        <extend val="0"/>
        <outline val="0"/>
        <shadow val="0"/>
        <u val="none"/>
        <vertAlign val="baseline"/>
        <sz val="8"/>
        <color theme="1" tint="0.34998626667073579"/>
        <name val="Calibri"/>
        <scheme val="minor"/>
      </font>
      <fill>
        <patternFill patternType="solid">
          <fgColor indexed="64"/>
          <bgColor theme="0" tint="-0.14996795556505021"/>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bgColor theme="7" tint="0.79998168889431442"/>
        </patternFill>
      </fill>
    </dxf>
    <dxf>
      <fill>
        <patternFill>
          <bgColor theme="0" tint="-0.14996795556505021"/>
        </patternFill>
      </fill>
    </dxf>
    <dxf>
      <font>
        <color theme="0" tint="-0.14996795556505021"/>
      </font>
      <fill>
        <patternFill>
          <bgColor theme="0" tint="-0.14996795556505021"/>
        </patternFill>
      </fill>
    </dxf>
    <dxf>
      <font>
        <color theme="1"/>
      </font>
    </dxf>
    <dxf>
      <fill>
        <patternFill>
          <bgColor theme="4" tint="0.59996337778862885"/>
        </patternFill>
      </fill>
    </dxf>
    <dxf>
      <font>
        <color theme="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auto="1"/>
      </font>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Zuw_Ausgaben" displayName="Zuw_Ausgaben" ref="A8:AC59" totalsRowCount="1" headerRowDxfId="266" dataDxfId="265" headerRowBorderDxfId="263" tableBorderDxfId="264" totalsRowBorderDxfId="262">
  <autoFilter ref="A8:AC58" xr:uid="{00000000-0009-0000-0100-000003000000}"/>
  <tableColumns count="29">
    <tableColumn id="1" xr3:uid="{00000000-0010-0000-0000-000001000000}" name="A" totalsRowLabel="Ergebnis" dataDxfId="260" totalsRowDxfId="261"/>
    <tableColumn id="2" xr3:uid="{00000000-0010-0000-0000-000002000000}" name="B" dataDxfId="258" totalsRowDxfId="259"/>
    <tableColumn id="3" xr3:uid="{00000000-0010-0000-0000-000003000000}" name="C" dataDxfId="256" totalsRowDxfId="257"/>
    <tableColumn id="4" xr3:uid="{00000000-0010-0000-0000-000004000000}" name="D" dataDxfId="254" totalsRowDxfId="255"/>
    <tableColumn id="5" xr3:uid="{00000000-0010-0000-0000-000005000000}" name="E" dataDxfId="252" totalsRowDxfId="253"/>
    <tableColumn id="6" xr3:uid="{00000000-0010-0000-0000-000006000000}" name="F" dataDxfId="250" totalsRowDxfId="251"/>
    <tableColumn id="7" xr3:uid="{00000000-0010-0000-0000-000007000000}" name="G" dataDxfId="248" totalsRowDxfId="249"/>
    <tableColumn id="8" xr3:uid="{00000000-0010-0000-0000-000008000000}" name="H" totalsRowFunction="sum" dataDxfId="246" totalsRowDxfId="247"/>
    <tableColumn id="9" xr3:uid="{00000000-0010-0000-0000-000009000000}" name="I" dataDxfId="244" totalsRowDxfId="245">
      <calculatedColumnFormula>IF(YEAR(Zuw_Ausgaben[[#This Row],[E]])&gt;YEAR($H$7),YEAR(Zuw_Ausgaben[[#This Row],[E]])-YEAR($H$7),"")</calculatedColumnFormula>
    </tableColumn>
    <tableColumn id="10" xr3:uid="{00000000-0010-0000-0000-00000A000000}" name="J" totalsRowFunction="sum" dataDxfId="242" totalsRowDxfId="243">
      <calculatedColumnFormula>IF(Zuw_Ausgaben[[#This Row],[I]]&lt;&gt;"",ROUND(Zuw_Ausgaben[[#This Row],[H]]+Zuw_Ausgaben[[#This Row],[H]]*Zuw_Ausgaben[[#This Row],[I]]*$J$7,-3),Zuw_Ausgaben[[#This Row],[H]])</calculatedColumnFormula>
    </tableColumn>
    <tableColumn id="11" xr3:uid="{00000000-0010-0000-0000-00000B000000}" name="K" totalsRowFunction="sum" dataDxfId="240" totalsRowDxfId="241">
      <calculatedColumnFormula>Zuw_Ausgaben[[#This Row],[J]]-Zuw_Ausgaben[[#This Row],[Z]]</calculatedColumnFormula>
    </tableColumn>
    <tableColumn id="12" xr3:uid="{00000000-0010-0000-0000-00000C000000}" name="L" totalsRowFunction="sum" dataDxfId="238" totalsRowDxfId="239"/>
    <tableColumn id="13" xr3:uid="{00000000-0010-0000-0000-00000D000000}" name="M" totalsRowFunction="sum" dataDxfId="236" totalsRowDxfId="237"/>
    <tableColumn id="14" xr3:uid="{00000000-0010-0000-0000-00000E000000}" name="N" totalsRowFunction="sum" dataDxfId="234" totalsRowDxfId="235"/>
    <tableColumn id="15" xr3:uid="{00000000-0010-0000-0000-00000F000000}" name="O" totalsRowFunction="sum" dataDxfId="232" totalsRowDxfId="233"/>
    <tableColumn id="16" xr3:uid="{00000000-0010-0000-0000-000010000000}" name="P" totalsRowFunction="sum" dataDxfId="230" totalsRowDxfId="231"/>
    <tableColumn id="17" xr3:uid="{00000000-0010-0000-0000-000011000000}" name="Q" totalsRowFunction="sum" dataDxfId="228" totalsRowDxfId="229"/>
    <tableColumn id="18" xr3:uid="{00000000-0010-0000-0000-000012000000}" name="R" totalsRowFunction="sum" dataDxfId="226" totalsRowDxfId="227"/>
    <tableColumn id="19" xr3:uid="{00000000-0010-0000-0000-000013000000}" name="S" totalsRowFunction="sum" dataDxfId="224" totalsRowDxfId="225"/>
    <tableColumn id="20" xr3:uid="{00000000-0010-0000-0000-000014000000}" name="T" totalsRowFunction="sum" dataDxfId="222" totalsRowDxfId="223"/>
    <tableColumn id="21" xr3:uid="{00000000-0010-0000-0000-000015000000}" name="U" totalsRowFunction="sum" dataDxfId="220" totalsRowDxfId="221"/>
    <tableColumn id="22" xr3:uid="{00000000-0010-0000-0000-000016000000}" name="V" totalsRowFunction="sum" dataDxfId="218" totalsRowDxfId="219"/>
    <tableColumn id="23" xr3:uid="{00000000-0010-0000-0000-000017000000}" name="W" totalsRowFunction="sum" dataDxfId="216" totalsRowDxfId="217"/>
    <tableColumn id="24" xr3:uid="{00000000-0010-0000-0000-000018000000}" name="X" totalsRowFunction="sum" dataDxfId="214" totalsRowDxfId="215"/>
    <tableColumn id="25" xr3:uid="{00000000-0010-0000-0000-000019000000}" name="Y" totalsRowFunction="sum" dataDxfId="212" totalsRowDxfId="213"/>
    <tableColumn id="26" xr3:uid="{00000000-0010-0000-0000-00001A000000}" name="Z" totalsRowFunction="sum" dataDxfId="210" totalsRowDxfId="211">
      <calculatedColumnFormula>SUM(Zuw_Ausgaben[[#This Row],[L]:[Y]])</calculatedColumnFormula>
    </tableColumn>
    <tableColumn id="27" xr3:uid="{00000000-0010-0000-0000-00001B000000}" name="AA" totalsRowFunction="sum" dataDxfId="208" totalsRowDxfId="209">
      <calculatedColumnFormula>IF(Zuw_Ausgaben[[#This Row],[Z]]-Zuw_Ausgaben[[#This Row],[H]]&lt;&gt;0,Zuw_Ausgaben[[#This Row],[Z]]-Zuw_Ausgaben[[#This Row],[H]],"")</calculatedColumnFormula>
    </tableColumn>
    <tableColumn id="28" xr3:uid="{00000000-0010-0000-0000-00001C000000}" name="AB" totalsRowFunction="custom" dataDxfId="206" totalsRowDxfId="207">
      <calculatedColumnFormula>IF(Zuw_Ausgaben[[#This Row],[AA]]&lt;&gt;"",IFERROR(Zuw_Ausgaben[[#This Row],[AA]]/Zuw_Ausgaben[[#This Row],[H]],""),"")</calculatedColumnFormula>
      <totalsRowFormula>Zuw_Ausgaben[[#Totals],[AA]]/Zuw_Ausgaben[[#Totals],[H]]</totalsRowFormula>
    </tableColumn>
    <tableColumn id="29" xr3:uid="{00000000-0010-0000-0000-00001D000000}" name="AC" totalsRowFunction="average" dataDxfId="204" totalsRowDxfId="205">
      <calculatedColumnFormula>IFERROR(IF(Zuw_Ausgaben[[#This Row],[AB]]&lt;&gt;"",Zuw_Ausgaben[[#This Row],[AB]]/Zuw_Ausgaben[[#This Row],[I]],""),Zuw_Ausgaben[[#This Row],[AB]])</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weitere_Ausgaben" displayName="weitere_Ausgaben" ref="A7:R23" totalsRowCount="1" headerRowDxfId="201" dataDxfId="200" totalsRowDxfId="199" headerRowBorderDxfId="197" tableBorderDxfId="198" totalsRowBorderDxfId="196" headerRowCellStyle="Standard_STB-KOFI-MUSTER-BEISPIEL">
  <autoFilter ref="A7:R22" xr:uid="{00000000-0009-0000-0100-000007000000}"/>
  <tableColumns count="18">
    <tableColumn id="1" xr3:uid="{00000000-0010-0000-0100-000001000000}" name="A" totalsRowLabel="Summe weitere maßnahmenbedingte Ausgaben" dataDxfId="194" totalsRowDxfId="195"/>
    <tableColumn id="2" xr3:uid="{00000000-0010-0000-0100-000002000000}" name="B" dataDxfId="192" totalsRowDxfId="193"/>
    <tableColumn id="3" xr3:uid="{00000000-0010-0000-0100-000003000000}" name="C" totalsRowDxfId="191"/>
    <tableColumn id="5" xr3:uid="{00000000-0010-0000-0100-000005000000}" name="D" totalsRowFunction="sum" dataDxfId="189" totalsRowDxfId="190"/>
    <tableColumn id="6" xr3:uid="{00000000-0010-0000-0100-000006000000}" name="E" totalsRowFunction="sum" dataDxfId="187" totalsRowDxfId="188"/>
    <tableColumn id="7" xr3:uid="{00000000-0010-0000-0100-000007000000}" name="F" totalsRowFunction="sum" dataDxfId="185" totalsRowDxfId="186"/>
    <tableColumn id="8" xr3:uid="{00000000-0010-0000-0100-000008000000}" name="G" totalsRowFunction="sum" dataDxfId="183" totalsRowDxfId="184"/>
    <tableColumn id="9" xr3:uid="{00000000-0010-0000-0100-000009000000}" name="H" totalsRowFunction="sum" dataDxfId="181" totalsRowDxfId="182"/>
    <tableColumn id="10" xr3:uid="{00000000-0010-0000-0100-00000A000000}" name="I" totalsRowFunction="sum" dataDxfId="179" totalsRowDxfId="180"/>
    <tableColumn id="11" xr3:uid="{00000000-0010-0000-0100-00000B000000}" name="J" totalsRowFunction="sum" dataDxfId="177" totalsRowDxfId="178"/>
    <tableColumn id="12" xr3:uid="{00000000-0010-0000-0100-00000C000000}" name="K" totalsRowFunction="sum" dataDxfId="175" totalsRowDxfId="176"/>
    <tableColumn id="13" xr3:uid="{00000000-0010-0000-0100-00000D000000}" name="L" totalsRowFunction="sum" dataDxfId="173" totalsRowDxfId="174"/>
    <tableColumn id="14" xr3:uid="{00000000-0010-0000-0100-00000E000000}" name="M" totalsRowFunction="sum" dataDxfId="171" totalsRowDxfId="172"/>
    <tableColumn id="15" xr3:uid="{00000000-0010-0000-0100-00000F000000}" name="N" totalsRowFunction="sum" dataDxfId="169" totalsRowDxfId="170"/>
    <tableColumn id="16" xr3:uid="{00000000-0010-0000-0100-000010000000}" name="O" totalsRowFunction="sum" dataDxfId="167" totalsRowDxfId="168"/>
    <tableColumn id="17" xr3:uid="{00000000-0010-0000-0100-000011000000}" name="P" totalsRowFunction="sum" dataDxfId="165" totalsRowDxfId="166"/>
    <tableColumn id="18" xr3:uid="{00000000-0010-0000-0100-000012000000}" name="Q" totalsRowFunction="sum" dataDxfId="163" totalsRowDxfId="164"/>
    <tableColumn id="19" xr3:uid="{00000000-0010-0000-0100-000013000000}" name="R" totalsRowFunction="sum" totalsRowDxfId="162">
      <calculatedColumnFormula>SUM(weitere_Ausgaben[[#This Row],[D]:[Q]])</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nachrichtliche_Kosten" displayName="nachrichtliche_Kosten" ref="A30:R46" totalsRowCount="1" headerRowDxfId="161" dataDxfId="160" totalsRowDxfId="159" headerRowBorderDxfId="157" tableBorderDxfId="158" totalsRowBorderDxfId="156" headerRowCellStyle="Standard_STB-KOFI-MUSTER-BEISPIEL">
  <autoFilter ref="A30:R45" xr:uid="{00000000-0009-0000-0100-000001000000}"/>
  <tableColumns count="18">
    <tableColumn id="1" xr3:uid="{00000000-0010-0000-0200-000001000000}" name="A" totalsRowLabel="Summe weitere maßnahmenbedingte Ausgaben" dataDxfId="154" totalsRowDxfId="155"/>
    <tableColumn id="2" xr3:uid="{00000000-0010-0000-0200-000002000000}" name="B" dataDxfId="152" totalsRowDxfId="153"/>
    <tableColumn id="3" xr3:uid="{00000000-0010-0000-0200-000003000000}" name="C" dataDxfId="150" totalsRowDxfId="151"/>
    <tableColumn id="5" xr3:uid="{00000000-0010-0000-0200-000005000000}" name="D" totalsRowFunction="sum" dataDxfId="148" totalsRowDxfId="149"/>
    <tableColumn id="6" xr3:uid="{00000000-0010-0000-0200-000006000000}" name="E" totalsRowFunction="sum" dataDxfId="146" totalsRowDxfId="147"/>
    <tableColumn id="7" xr3:uid="{00000000-0010-0000-0200-000007000000}" name="F" totalsRowFunction="sum" dataDxfId="144" totalsRowDxfId="145"/>
    <tableColumn id="8" xr3:uid="{00000000-0010-0000-0200-000008000000}" name="G" totalsRowFunction="sum" dataDxfId="142" totalsRowDxfId="143"/>
    <tableColumn id="9" xr3:uid="{00000000-0010-0000-0200-000009000000}" name="H" totalsRowFunction="sum" dataDxfId="140" totalsRowDxfId="141"/>
    <tableColumn id="10" xr3:uid="{00000000-0010-0000-0200-00000A000000}" name="I" totalsRowFunction="sum" dataDxfId="138" totalsRowDxfId="139"/>
    <tableColumn id="11" xr3:uid="{00000000-0010-0000-0200-00000B000000}" name="J" totalsRowFunction="sum" dataDxfId="136" totalsRowDxfId="137"/>
    <tableColumn id="12" xr3:uid="{00000000-0010-0000-0200-00000C000000}" name="K" totalsRowFunction="sum" dataDxfId="134" totalsRowDxfId="135"/>
    <tableColumn id="13" xr3:uid="{00000000-0010-0000-0200-00000D000000}" name="L" totalsRowFunction="sum" dataDxfId="132" totalsRowDxfId="133"/>
    <tableColumn id="14" xr3:uid="{00000000-0010-0000-0200-00000E000000}" name="M" totalsRowFunction="sum" dataDxfId="130" totalsRowDxfId="131"/>
    <tableColumn id="15" xr3:uid="{00000000-0010-0000-0200-00000F000000}" name="N" totalsRowFunction="sum" dataDxfId="128" totalsRowDxfId="129"/>
    <tableColumn id="16" xr3:uid="{00000000-0010-0000-0200-000010000000}" name="O" totalsRowFunction="sum" dataDxfId="126" totalsRowDxfId="127"/>
    <tableColumn id="17" xr3:uid="{00000000-0010-0000-0200-000011000000}" name="P" totalsRowFunction="sum" dataDxfId="124" totalsRowDxfId="125"/>
    <tableColumn id="18" xr3:uid="{00000000-0010-0000-0200-000012000000}" name="Q" totalsRowFunction="sum" dataDxfId="122" totalsRowDxfId="123"/>
    <tableColumn id="19" xr3:uid="{00000000-0010-0000-0200-000013000000}" name="R" totalsRowFunction="sum" dataDxfId="120" totalsRowDxfId="121">
      <calculatedColumnFormula>SUM(nachrichtliche_Kosten[[#This Row],[D]:[Q]])</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Einnahmen" displayName="Einnahmen" ref="A7:R33" totalsRowCount="1" headerRowDxfId="118" dataDxfId="117" totalsRowDxfId="116" headerRowBorderDxfId="114" tableBorderDxfId="115" totalsRowBorderDxfId="113" headerRowCellStyle="Standard_STB-KOFI-MUSTER-BEISPIEL">
  <autoFilter ref="A7:R32" xr:uid="{00000000-0009-0000-0100-000009000000}"/>
  <tableColumns count="18">
    <tableColumn id="1" xr3:uid="{00000000-0010-0000-0300-000001000000}" name="A" totalsRowLabel="Summe zweckgebundene Einnahmen" dataDxfId="111" totalsRowDxfId="112"/>
    <tableColumn id="2" xr3:uid="{00000000-0010-0000-0300-000002000000}" name="B" dataDxfId="109" totalsRowDxfId="110"/>
    <tableColumn id="3" xr3:uid="{00000000-0010-0000-0300-000003000000}" name="C" dataDxfId="107" totalsRowDxfId="108"/>
    <tableColumn id="5" xr3:uid="{00000000-0010-0000-0300-000005000000}" name="D" totalsRowFunction="sum" dataDxfId="105" totalsRowDxfId="106"/>
    <tableColumn id="6" xr3:uid="{00000000-0010-0000-0300-000006000000}" name="E" totalsRowFunction="sum" dataDxfId="103" totalsRowDxfId="104"/>
    <tableColumn id="7" xr3:uid="{00000000-0010-0000-0300-000007000000}" name="F" totalsRowFunction="sum" dataDxfId="101" totalsRowDxfId="102"/>
    <tableColumn id="8" xr3:uid="{00000000-0010-0000-0300-000008000000}" name="G" totalsRowFunction="sum" dataDxfId="99" totalsRowDxfId="100"/>
    <tableColumn id="9" xr3:uid="{00000000-0010-0000-0300-000009000000}" name="H" totalsRowFunction="sum" dataDxfId="97" totalsRowDxfId="98"/>
    <tableColumn id="10" xr3:uid="{00000000-0010-0000-0300-00000A000000}" name="I" totalsRowFunction="sum" dataDxfId="95" totalsRowDxfId="96"/>
    <tableColumn id="11" xr3:uid="{00000000-0010-0000-0300-00000B000000}" name="J" totalsRowFunction="sum" dataDxfId="93" totalsRowDxfId="94"/>
    <tableColumn id="12" xr3:uid="{00000000-0010-0000-0300-00000C000000}" name="K" totalsRowFunction="sum" dataDxfId="91" totalsRowDxfId="92"/>
    <tableColumn id="13" xr3:uid="{00000000-0010-0000-0300-00000D000000}" name="L" totalsRowFunction="sum" dataDxfId="89" totalsRowDxfId="90"/>
    <tableColumn id="14" xr3:uid="{00000000-0010-0000-0300-00000E000000}" name="M" totalsRowFunction="sum" dataDxfId="87" totalsRowDxfId="88"/>
    <tableColumn id="15" xr3:uid="{00000000-0010-0000-0300-00000F000000}" name="N" totalsRowFunction="sum" dataDxfId="85" totalsRowDxfId="86"/>
    <tableColumn id="16" xr3:uid="{00000000-0010-0000-0300-000010000000}" name="O" totalsRowFunction="sum" dataDxfId="83" totalsRowDxfId="84"/>
    <tableColumn id="17" xr3:uid="{00000000-0010-0000-0300-000011000000}" name="P" totalsRowFunction="sum" dataDxfId="81" totalsRowDxfId="82"/>
    <tableColumn id="18" xr3:uid="{00000000-0010-0000-0300-000012000000}" name="Q" totalsRowFunction="sum" dataDxfId="79" totalsRowDxfId="80"/>
    <tableColumn id="19" xr3:uid="{00000000-0010-0000-0300-000013000000}" name="R" totalsRowFunction="sum" totalsRowDxfId="78">
      <calculatedColumnFormula>SUM(Einnahmen[[#This Row],[D]:[Q]])</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Zuw_Ausgaben_KuF" displayName="Zuw_Ausgaben_KuF" ref="A55:S106" totalsRowCount="1" headerRowDxfId="43" dataDxfId="42" totalsRowDxfId="41" headerRowBorderDxfId="39" tableBorderDxfId="40" totalsRowBorderDxfId="38" headerRowCellStyle="Standard_STB-KOFI-MUSTER-BEISPIEL">
  <autoFilter ref="A55:S105" xr:uid="{00000000-0009-0000-0100-000005000000}"/>
  <sortState ref="A18:O31">
    <sortCondition ref="A18:A31"/>
  </sortState>
  <tableColumns count="19">
    <tableColumn id="1" xr3:uid="{00000000-0010-0000-0400-000001000000}" name="A" totalsRowLabel="Summe zuwendungsfähige Ausgaben" dataDxfId="36" totalsRowDxfId="37"/>
    <tableColumn id="2" xr3:uid="{00000000-0010-0000-0400-000002000000}" name="B" dataDxfId="34" totalsRowDxfId="35">
      <calculatedColumnFormula>IF('grunds. zuwendungsf. Ausgaben'!B9="","",'grunds. zuwendungsf. Ausgaben'!B9)</calculatedColumnFormula>
    </tableColumn>
    <tableColumn id="3" xr3:uid="{00000000-0010-0000-0400-000003000000}" name="C" dataDxfId="32" totalsRowDxfId="33"/>
    <tableColumn id="4" xr3:uid="{00000000-0010-0000-0400-000004000000}" name="D" totalsRowFunction="sum" dataDxfId="30" totalsRowDxfId="31">
      <calculatedColumnFormula>SUM(Zuw_Ausgaben_KuF[[#This Row],[E]:[K]])</calculatedColumnFormula>
    </tableColumn>
    <tableColumn id="5" xr3:uid="{00000000-0010-0000-0400-000005000000}" name="E" totalsRowFunction="sum" dataDxfId="28" totalsRowDxfId="29">
      <calculatedColumnFormula>IF(SUM('grunds. zuwendungsf. Ausgaben'!L9:OFFSET('grunds. zuwendungsf. Ausgaben'!L9,0,$M$4))=0,"",SUM('grunds. zuwendungsf. Ausgaben'!L9:OFFSET('grunds. zuwendungsf. Ausgaben'!L9,0,$M$4)))</calculatedColumnFormula>
    </tableColumn>
    <tableColumn id="6" xr3:uid="{00000000-0010-0000-0400-000006000000}" name="F" totalsRowFunction="sum" dataDxfId="26" totalsRowDxfId="27">
      <calculatedColumnFormula>IF(IF($M$4&lt;13,OFFSET('grunds. zuwendungsf. Ausgaben'!M9,0,$M$4),)=0,"",IF($M$4&lt;13,OFFSET('grunds. zuwendungsf. Ausgaben'!M9,0,$M$4),))</calculatedColumnFormula>
    </tableColumn>
    <tableColumn id="7" xr3:uid="{00000000-0010-0000-0400-000007000000}" name="G" totalsRowFunction="sum" dataDxfId="24" totalsRowDxfId="25">
      <calculatedColumnFormula>IF(IF($M$4&lt;12,OFFSET('grunds. zuwendungsf. Ausgaben'!N9,0,$M$4),)=0,"",IF($M$4&lt;12,OFFSET('grunds. zuwendungsf. Ausgaben'!N9,0,$M$4),))</calculatedColumnFormula>
    </tableColumn>
    <tableColumn id="8" xr3:uid="{00000000-0010-0000-0400-000008000000}" name="H" totalsRowFunction="sum" dataDxfId="22" totalsRowDxfId="23">
      <calculatedColumnFormula>IF(IF($M$4&lt;11,OFFSET('grunds. zuwendungsf. Ausgaben'!O9,0,$M$4),)=0,"",IF($M$4&lt;11,OFFSET('grunds. zuwendungsf. Ausgaben'!O9,0,$M$4),))</calculatedColumnFormula>
    </tableColumn>
    <tableColumn id="9" xr3:uid="{00000000-0010-0000-0400-000009000000}" name="I" totalsRowFunction="sum" dataDxfId="20" totalsRowDxfId="21">
      <calculatedColumnFormula>IF(IF($M$4&lt;10,OFFSET('grunds. zuwendungsf. Ausgaben'!P9,0,$M$4),)=0,"",IF($M$4&lt;10,OFFSET('grunds. zuwendungsf. Ausgaben'!P9,0,$M$4),))</calculatedColumnFormula>
    </tableColumn>
    <tableColumn id="10" xr3:uid="{00000000-0010-0000-0400-00000A000000}" name="J" totalsRowFunction="sum" dataDxfId="18" totalsRowDxfId="19">
      <calculatedColumnFormula>IF(IF($M$4&lt;9,OFFSET('grunds. zuwendungsf. Ausgaben'!Q9,0,$M$4),)=0,"",IF($M$4&lt;9,OFFSET('grunds. zuwendungsf. Ausgaben'!Q9,0,$M$4),))</calculatedColumnFormula>
    </tableColumn>
    <tableColumn id="11" xr3:uid="{00000000-0010-0000-0400-00000B000000}" name="K" totalsRowFunction="sum" dataDxfId="16" totalsRowDxfId="17">
      <calculatedColumnFormula>IF(IF($M$4&lt;8,SUM(OFFSET('grunds. zuwendungsf. Ausgaben'!R9,0,$M$4):'grunds. zuwendungsf. Ausgaben'!Y9),0)=0,"",IF($M$4&lt;8,SUM(OFFSET('grunds. zuwendungsf. Ausgaben'!R9,0,$M$4):'grunds. zuwendungsf. Ausgaben'!Y9),0))</calculatedColumnFormula>
    </tableColumn>
    <tableColumn id="15" xr3:uid="{00000000-0010-0000-0400-00000F000000}" name="L" dataDxfId="14" totalsRowDxfId="15">
      <calculatedColumnFormula>IF('grunds. zuwendungsf. Ausgaben'!D9="","",'grunds. zuwendungsf. Ausgaben'!D9)</calculatedColumnFormula>
    </tableColumn>
    <tableColumn id="17" xr3:uid="{00000000-0010-0000-0400-000011000000}" name="M" dataDxfId="12" totalsRowDxfId="13">
      <calculatedColumnFormula>IF('grunds. zuwendungsf. Ausgaben'!E9="","",'grunds. zuwendungsf. Ausgaben'!E9)</calculatedColumnFormula>
    </tableColumn>
    <tableColumn id="18" xr3:uid="{00000000-0010-0000-0400-000012000000}" name="N" dataDxfId="10" totalsRowDxfId="11">
      <calculatedColumnFormula>IF('grunds. zuwendungsf. Ausgaben'!F9="","",'grunds. zuwendungsf. Ausgaben'!F9)</calculatedColumnFormula>
    </tableColumn>
    <tableColumn id="19" xr3:uid="{00000000-0010-0000-0400-000013000000}" name="O" dataDxfId="8" totalsRowDxfId="9">
      <calculatedColumnFormula>IF('grunds. zuwendungsf. Ausgaben'!G9="","",'grunds. zuwendungsf. Ausgaben'!G9)</calculatedColumnFormula>
    </tableColumn>
    <tableColumn id="12" xr3:uid="{00000000-0010-0000-0400-00000C000000}" name="P" totalsRowFunction="sum" dataDxfId="6" totalsRowDxfId="7">
      <calculatedColumnFormula>IF('grunds. zuwendungsf. Ausgaben'!H9="","",'grunds. zuwendungsf. Ausgaben'!H9)</calculatedColumnFormula>
    </tableColumn>
    <tableColumn id="13" xr3:uid="{00000000-0010-0000-0400-00000D000000}" name="Q" totalsRowFunction="sum" dataDxfId="4" totalsRowDxfId="5">
      <calculatedColumnFormula>IF('grunds. zuwendungsf. Ausgaben'!AA9="","",'grunds. zuwendungsf. Ausgaben'!AA9)</calculatedColumnFormula>
    </tableColumn>
    <tableColumn id="20" xr3:uid="{00000000-0010-0000-0400-000014000000}" name="R" totalsRowFunction="custom" dataDxfId="2" totalsRowDxfId="3">
      <calculatedColumnFormula>IF('grunds. zuwendungsf. Ausgaben'!AB9="","",'grunds. zuwendungsf. Ausgaben'!AB9)</calculatedColumnFormula>
      <totalsRowFormula>IFERROR(Zuw_Ausgaben_KuF[[#Totals],[Q]]/Zuw_Ausgaben_KuF[[#Totals],[P]],0)</totalsRowFormula>
    </tableColumn>
    <tableColumn id="16" xr3:uid="{00000000-0010-0000-0400-000010000000}" name="S" totalsRowFunction="average" dataDxfId="0" totalsRowDxfId="1">
      <calculatedColumnFormula>IF('grunds. zuwendungsf. Ausgaben'!AC9="","",'grunds. zuwendungsf. Ausgaben'!AC9)</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32"/>
  <sheetViews>
    <sheetView showGridLines="0" tabSelected="1" zoomScale="110" zoomScaleNormal="110" workbookViewId="0" xr3:uid="{AEA406A1-0E4B-5B11-9CD5-51D6E497D94C}">
      <selection activeCell="B3" sqref="B3"/>
    </sheetView>
  </sheetViews>
  <sheetFormatPr defaultColWidth="11.5703125" defaultRowHeight="15.75"/>
  <cols>
    <col min="1" max="1" width="58.85546875" style="48" customWidth="1"/>
    <col min="2" max="2" width="58.42578125" style="48" customWidth="1"/>
    <col min="3" max="3" width="1.5703125" style="48" customWidth="1"/>
    <col min="4" max="4" width="84.7109375" style="48" customWidth="1"/>
    <col min="5" max="16384" width="11.5703125" style="48"/>
  </cols>
  <sheetData>
    <row r="1" spans="1:4" ht="19.149999999999999" customHeight="1">
      <c r="A1" s="355" t="s">
        <v>0</v>
      </c>
      <c r="D1" s="132" t="s">
        <v>1</v>
      </c>
    </row>
    <row r="2" spans="1:4" ht="19.149999999999999" customHeight="1">
      <c r="A2" s="396" t="s">
        <v>2</v>
      </c>
      <c r="D2" s="390" t="s">
        <v>3</v>
      </c>
    </row>
    <row r="3" spans="1:4" ht="25.5" customHeight="1">
      <c r="A3" s="275" t="s">
        <v>4</v>
      </c>
      <c r="B3" s="276" t="s">
        <v>5</v>
      </c>
      <c r="D3" s="48" t="s">
        <v>6</v>
      </c>
    </row>
    <row r="4" spans="1:4" ht="25.5" customHeight="1">
      <c r="A4" s="277" t="str">
        <f>IF(B3&lt;&gt;"Sachbericht","Datum des Förderantrages:","Datum des Sachberichts:")</f>
        <v>Datum des Förderantrages:</v>
      </c>
      <c r="B4" s="278"/>
      <c r="D4" s="48" t="str">
        <f>IF($B$3="Erstantrag","&lt;- Tragen Sie hier das aktuelle Datum des Förderantrags ein","&lt;- Berichtigen Sie das Datum auf den aktuellen Förderantrag/Sachbericht")</f>
        <v>&lt;- Tragen Sie hier das aktuelle Datum des Förderantrags ein</v>
      </c>
    </row>
    <row r="5" spans="1:4" ht="25.5" customHeight="1">
      <c r="B5" s="50"/>
    </row>
    <row r="6" spans="1:4" ht="25.5" customHeight="1">
      <c r="A6" s="275" t="s">
        <v>7</v>
      </c>
      <c r="B6" s="326"/>
      <c r="D6" s="48" t="str">
        <f>IF($B$3="Erstantrag","&lt;- Eingabe: aktuelles Antragsdatum wie in Feld B4","&lt;- Dieser Wert wird nicht mehr verändert")</f>
        <v>&lt;- Eingabe: aktuelles Antragsdatum wie in Feld B4</v>
      </c>
    </row>
    <row r="7" spans="1:4" ht="25.5" customHeight="1">
      <c r="A7" s="279" t="s">
        <v>8</v>
      </c>
      <c r="B7" s="369"/>
      <c r="D7" s="48" t="str">
        <f>IF($B$3="Erstantrag","&lt;- Eingabe: Kostenindex lt. aktuellem Programmaufruf","&lt;- Dieser Wert wird nicht mehr verändert.")</f>
        <v>&lt;- Eingabe: Kostenindex lt. aktuellem Programmaufruf</v>
      </c>
    </row>
    <row r="8" spans="1:4" ht="28.5" customHeight="1">
      <c r="A8" s="474" t="s">
        <v>9</v>
      </c>
      <c r="B8" s="327"/>
      <c r="D8" s="48" t="str">
        <f>IF($B$3="Fortsetzungsantrag zur Festlegung der Förderobergrenze","&lt;- Eingabe: aktuelles Antragsdatum wie in Feld B4","&lt;- Keine Eingabe oder Änderung")</f>
        <v>&lt;- Keine Eingabe oder Änderung</v>
      </c>
    </row>
    <row r="9" spans="1:4" ht="25.5" customHeight="1">
      <c r="A9" s="279" t="s">
        <v>8</v>
      </c>
      <c r="B9" s="369"/>
      <c r="D9" s="48" t="str">
        <f>IF($B$3="Fortsetzungsantrag zur Festlegung der Förderobergrenze","&lt;- Tragen Sie hier den Kostenindex lt. aktuellem Programmaufruf ein.","&lt;- Keine Eingabe oder Änderung")</f>
        <v>&lt;- Keine Eingabe oder Änderung</v>
      </c>
    </row>
    <row r="10" spans="1:4" ht="25.5" customHeight="1">
      <c r="B10" s="49"/>
    </row>
    <row r="11" spans="1:4" ht="25.5" customHeight="1">
      <c r="A11" s="275" t="s">
        <v>10</v>
      </c>
      <c r="B11" s="281"/>
      <c r="D11" s="48" t="str">
        <f>IF($B$3="Sachbericht","&lt;- Eingabe: Programmjahr, in dem der Sachbericht vorgelegt wird.","&lt;- Eingabe: Programmjahr, zu dem der Förderantrag gestellt wird.")</f>
        <v>&lt;- Eingabe: Programmjahr, zu dem der Förderantrag gestellt wird.</v>
      </c>
    </row>
    <row r="12" spans="1:4" ht="25.5" customHeight="1">
      <c r="A12" s="279" t="s">
        <v>11</v>
      </c>
      <c r="B12" s="282" t="str">
        <f>CONCATENATE("31.01.",B11)</f>
        <v>31.01.</v>
      </c>
    </row>
    <row r="13" spans="1:4" ht="25.5" customHeight="1">
      <c r="B13" s="49"/>
    </row>
    <row r="14" spans="1:4" ht="25.5" customHeight="1">
      <c r="A14" s="283" t="s">
        <v>12</v>
      </c>
      <c r="B14" s="329"/>
      <c r="D14" s="48" t="str">
        <f>IF($B$3="Erstantrag","&lt;- Eingabe: Antragstellerin","&lt;- keine Änderung mehr")</f>
        <v>&lt;- Eingabe: Antragstellerin</v>
      </c>
    </row>
    <row r="15" spans="1:4" ht="30.6" customHeight="1">
      <c r="A15" s="284" t="s">
        <v>13</v>
      </c>
      <c r="B15" s="371"/>
      <c r="D15" s="48" t="str">
        <f>IF($B$3="Erstantrag","&lt;- Eingabe: Anschrift (Straße, Hausnummer, Ort)","&lt;- ggf. Berichtigung der Daten")</f>
        <v>&lt;- Eingabe: Anschrift (Straße, Hausnummer, Ort)</v>
      </c>
    </row>
    <row r="16" spans="1:4" ht="30.6" customHeight="1">
      <c r="A16" s="285" t="s">
        <v>14</v>
      </c>
      <c r="B16" s="338"/>
      <c r="D16" s="48" t="str">
        <f>IF($B$3="Erstantrag","&lt;- Eingabe: Ansprechpartner:in bei der Kommune","&lt;- ggf. Berichtigung der Daten")</f>
        <v>&lt;- Eingabe: Ansprechpartner:in bei der Kommune</v>
      </c>
    </row>
    <row r="17" spans="1:4" ht="25.5" customHeight="1">
      <c r="A17" s="49"/>
    </row>
    <row r="18" spans="1:4" ht="25.5" customHeight="1">
      <c r="A18" s="283" t="s">
        <v>15</v>
      </c>
      <c r="B18" s="488"/>
      <c r="D18" s="325" t="str">
        <f>IF($B$3="Erstantrag","&lt;- Eingabe: Bezeichnung des Gebietes, wie es vom Rat der Kommune beschlossen wurde","&lt;- keine Änderung mehr")</f>
        <v>&lt;- Eingabe: Bezeichnung des Gebietes, wie es vom Rat der Kommune beschlossen wurde</v>
      </c>
    </row>
    <row r="19" spans="1:4" ht="25.5" customHeight="1">
      <c r="A19" s="284" t="s">
        <v>16</v>
      </c>
      <c r="B19" s="328"/>
      <c r="D19" s="48" t="str">
        <f>IF($B$3="Erstantrag","&lt;- Auswahl der Programmachse über das Drop-Down-Menu","&lt;- keine Änderung mehr")</f>
        <v>&lt;- Auswahl der Programmachse über das Drop-Down-Menu</v>
      </c>
    </row>
    <row r="20" spans="1:4" ht="25.5" customHeight="1">
      <c r="A20" s="285" t="s">
        <v>17</v>
      </c>
      <c r="B20" s="414"/>
      <c r="D20" s="48" t="str">
        <f>IF($B$3="Erstantrag","&lt;- Eingabe: Fördersatz lt. Fördersatzerlass. Bekanntabe durch die Bezirksregierung","&lt;- i. d. Regel keine Änderung, es sei denn, der Fördersatz wurde angehoben")</f>
        <v>&lt;- Eingabe: Fördersatz lt. Fördersatzerlass. Bekanntabe durch die Bezirksregierung</v>
      </c>
    </row>
    <row r="21" spans="1:4" ht="25.5" customHeight="1"/>
    <row r="22" spans="1:4" ht="25.5" customHeight="1">
      <c r="A22" s="275" t="s">
        <v>18</v>
      </c>
      <c r="B22" s="323"/>
      <c r="D22" s="325" t="str">
        <f>IF(AND($B$3&lt;&gt;"Erstantrag",B22=""),"&lt;- Eingabe: Datum des 1. Zuwendungsbescheides","&lt;- keine Eingabe oder Änderung")</f>
        <v>&lt;- keine Eingabe oder Änderung</v>
      </c>
    </row>
    <row r="23" spans="1:4" ht="31.5">
      <c r="A23" s="284" t="s">
        <v>19</v>
      </c>
      <c r="B23" s="324"/>
      <c r="D23" s="325" t="str">
        <f>IF(AND($B$3&lt;&gt;"Erstantrag",B23=""),"&lt;- Eingabe: vorläufige Förderobergrenze lt. 1. Zuwendungsbescheid","&lt;- keine Eingabe oder Änderung")</f>
        <v>&lt;- keine Eingabe oder Änderung</v>
      </c>
    </row>
    <row r="24" spans="1:4" ht="25.5" customHeight="1">
      <c r="A24" s="279" t="s">
        <v>20</v>
      </c>
      <c r="B24" s="357">
        <f>IF($B$28&gt;0,ROUND(B23*$B$28,-3),ROUND(B23*$B$20,-3))</f>
        <v>0</v>
      </c>
      <c r="D24" s="325"/>
    </row>
    <row r="25" spans="1:4" ht="25.5" customHeight="1">
      <c r="A25" s="280" t="s">
        <v>21</v>
      </c>
      <c r="B25" s="356"/>
      <c r="D25" s="325" t="str">
        <f>IF(AND($B$3&lt;&gt;"Erstantrag",B25=""),"&lt;- Nur wenn Förderobergrenze bereits endgültig festgelegt wurde - Eingabe: Datum des Bescheides, mit dem die Förderobergrenze endgültig festgesetzt wurde.","&lt;- keine Eingabe oder Änderung")</f>
        <v>&lt;- keine Eingabe oder Änderung</v>
      </c>
    </row>
    <row r="26" spans="1:4" ht="31.5">
      <c r="A26" s="284" t="s">
        <v>22</v>
      </c>
      <c r="B26" s="324"/>
      <c r="D26" s="325" t="str">
        <f>IF(AND($B$3&lt;&gt;"Erstantrag",B26=""),"&lt;- Nur wenn Förderobergrenze bereits endgültig festgelegt wurde - Eingabe: Förderobergrenze","&lt;- keine Eingabe oder Änderung")</f>
        <v>&lt;- keine Eingabe oder Änderung</v>
      </c>
    </row>
    <row r="27" spans="1:4" ht="25.5" customHeight="1">
      <c r="A27" s="358" t="s">
        <v>20</v>
      </c>
      <c r="B27" s="357">
        <f>IF($B$28&gt;0,ROUND(B26*$B$28,-3),ROUND(B26*$B$20,-3))</f>
        <v>0</v>
      </c>
      <c r="D27" s="325"/>
    </row>
    <row r="28" spans="1:4" ht="29.25" customHeight="1">
      <c r="A28" s="416" t="s">
        <v>23</v>
      </c>
      <c r="B28" s="473">
        <f>IFERROR(IF(AND(Bewilligungen!S9&gt;0,B20&lt;&gt;Bewilligungen!S18),ROUND((('KuF Zusammenfassung'!K9-Bewilligungen!T18)*Start!B20+Bewilligungen!R18),-3)/'KuF Zusammenfassung'!K9,0),0)</f>
        <v>0</v>
      </c>
    </row>
    <row r="29" spans="1:4" ht="10.5" customHeight="1">
      <c r="A29" s="49"/>
      <c r="B29" s="415"/>
    </row>
    <row r="30" spans="1:4" ht="25.5" customHeight="1">
      <c r="B30" s="454" t="s">
        <v>24</v>
      </c>
      <c r="D30" s="48" t="s">
        <v>25</v>
      </c>
    </row>
    <row r="31" spans="1:4" ht="19.149999999999999" customHeight="1"/>
    <row r="32" spans="1:4" ht="19.149999999999999" customHeight="1"/>
  </sheetData>
  <sheetProtection password="8640" sheet="1" objects="1" scenarios="1"/>
  <conditionalFormatting sqref="A4">
    <cfRule type="expression" dxfId="277" priority="9">
      <formula>$B$3&lt;&gt;""</formula>
    </cfRule>
  </conditionalFormatting>
  <conditionalFormatting sqref="B6:B7 B18:B20 B14">
    <cfRule type="expression" dxfId="276" priority="7">
      <formula>$B$3="Erstantrag"</formula>
    </cfRule>
  </conditionalFormatting>
  <conditionalFormatting sqref="B8:B9">
    <cfRule type="expression" dxfId="275" priority="6">
      <formula>$B$3="Fortsetzungsantrag zur Festlegung der Förderobergrenze"</formula>
    </cfRule>
  </conditionalFormatting>
  <conditionalFormatting sqref="B22">
    <cfRule type="expression" dxfId="274" priority="5">
      <formula>AND($B$3&lt;&gt;"Erstantrag",$B$22="")</formula>
    </cfRule>
  </conditionalFormatting>
  <conditionalFormatting sqref="B23">
    <cfRule type="expression" dxfId="273" priority="4">
      <formula>AND($B$3&lt;&gt;"Erstantrag",$B$23="")</formula>
    </cfRule>
  </conditionalFormatting>
  <conditionalFormatting sqref="D4:D27">
    <cfRule type="expression" dxfId="272" priority="3">
      <formula>$B$3=""</formula>
    </cfRule>
  </conditionalFormatting>
  <conditionalFormatting sqref="B25:B26">
    <cfRule type="expression" dxfId="271" priority="2">
      <formula>AND($B$3&lt;&gt;"Erstantrag",$B$23&lt;&gt;"",B25="")</formula>
    </cfRule>
  </conditionalFormatting>
  <conditionalFormatting sqref="A28:B28">
    <cfRule type="expression" dxfId="270" priority="1">
      <formula>$B$28&gt;0</formula>
    </cfRule>
  </conditionalFormatting>
  <dataValidations count="4">
    <dataValidation type="list" allowBlank="1" showInputMessage="1" showErrorMessage="1" sqref="B3" xr:uid="{00000000-0002-0000-0000-000000000000}">
      <formula1>"Erstantrag,Fortsetzungsantrag,Fortsetzungsantrag zur Festlegung der Förderobergrenze,Sachbericht"</formula1>
    </dataValidation>
    <dataValidation type="list" errorStyle="warning" allowBlank="1" showInputMessage="1" showErrorMessage="1" errorTitle="Abweichende Eingabe" error="Es wurde kein Eintrag aus der Auswahlliste ausgewählt." sqref="B19" xr:uid="{00000000-0002-0000-0000-000001000000}">
      <formula1>"Lebendige Zentren, Sozialer Zusammenhalt,Wachstum und nachhaltige Erneuerung"</formula1>
    </dataValidation>
    <dataValidation errorStyle="warning" allowBlank="1" showInputMessage="1" showErrorMessage="1" errorTitle="Abweichende Eingabe" error="Es wurde kein Eintrag aus der Auswahlliste ausgewählt." sqref="B20" xr:uid="{00000000-0002-0000-0000-000002000000}"/>
    <dataValidation type="whole" operator="greaterThan" allowBlank="1" showInputMessage="1" showErrorMessage="1" sqref="B11" xr:uid="{00000000-0002-0000-0000-000003000000}">
      <formula1>2023</formula1>
    </dataValidation>
  </dataValidations>
  <hyperlinks>
    <hyperlink ref="B30" location="'grunds. zuwendungsf. Ausgaben'!A1" display="Weiter zu den Ausgaben" xr:uid="{00000000-0004-0000-0000-000000000000}"/>
  </hyperlinks>
  <pageMargins left="0.7" right="0.7" top="0.78740157499999996" bottom="0.78740157499999996"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C59"/>
  <sheetViews>
    <sheetView showGridLines="0" zoomScaleNormal="100" workbookViewId="0" xr3:uid="{958C4451-9541-5A59-BF78-D2F731DF1C81}">
      <pane xSplit="2" ySplit="8" topLeftCell="C9" activePane="bottomRight" state="frozen"/>
      <selection pane="bottomRight" activeCell="B9" sqref="B9"/>
      <selection pane="bottomLeft" activeCell="A8" sqref="A8"/>
      <selection pane="topRight" activeCell="C1" sqref="C1"/>
    </sheetView>
  </sheetViews>
  <sheetFormatPr defaultColWidth="11.42578125" defaultRowHeight="15"/>
  <cols>
    <col min="1" max="1" width="5.28515625" customWidth="1"/>
    <col min="2" max="2" width="57.7109375" customWidth="1"/>
    <col min="3" max="3" width="7" customWidth="1"/>
    <col min="4" max="4" width="6.42578125" customWidth="1"/>
    <col min="5" max="7" width="5.7109375" customWidth="1"/>
    <col min="8" max="8" width="13.42578125" customWidth="1"/>
    <col min="9" max="9" width="6.85546875" customWidth="1"/>
    <col min="10" max="11" width="13.5703125" customWidth="1"/>
    <col min="12" max="22" width="13.42578125" customWidth="1"/>
    <col min="23" max="25" width="13.42578125" hidden="1" customWidth="1"/>
    <col min="26" max="27" width="13.42578125" customWidth="1"/>
  </cols>
  <sheetData>
    <row r="1" spans="1:29" ht="22.9" customHeight="1">
      <c r="A1" s="286" t="str">
        <f>CONCATENATE("Anlass der Kosten- und Finanzierungsübersicht: ",Start!$B$3," zum ",Start!$B$12 )</f>
        <v>Anlass der Kosten- und Finanzierungsübersicht: Erstantrag zum 31.01.</v>
      </c>
      <c r="B1" s="286"/>
      <c r="C1" s="286"/>
      <c r="D1" s="287"/>
      <c r="E1" s="287"/>
      <c r="F1" s="287"/>
      <c r="G1" s="286"/>
      <c r="H1" s="286"/>
      <c r="I1" s="287"/>
      <c r="J1" s="332" t="s">
        <v>26</v>
      </c>
      <c r="K1" s="333" t="s">
        <v>27</v>
      </c>
      <c r="L1" s="332" t="s">
        <v>28</v>
      </c>
      <c r="M1" s="332" t="s">
        <v>29</v>
      </c>
      <c r="N1" s="332" t="s">
        <v>30</v>
      </c>
      <c r="O1" s="332" t="s">
        <v>31</v>
      </c>
      <c r="P1" s="332" t="s">
        <v>32</v>
      </c>
    </row>
    <row r="2" spans="1:29">
      <c r="A2" s="318" t="str">
        <f>IF(Start!B3="Erstantrag","Füllen Sie je Teilmaßnahme die Spalten B - H aus und verteilen dann die Beträge aus Spalte K auf die Spalten L bis V.",IF(Start!B3="Fortsetzungsantrag zur Festlegung der Förderobergrenze","Überprüfen und aktualisieren Sie die Daten in den Spalten D - H sowie L - V.","Überprüfen und aktualisieren Sie die Daten in den Spalten D - G und L - V."))</f>
        <v>Füllen Sie je Teilmaßnahme die Spalten B - H aus und verteilen dann die Beträge aus Spalte K auf die Spalten L bis V.</v>
      </c>
      <c r="B2" s="317"/>
    </row>
    <row r="3" spans="1:29">
      <c r="A3" s="55" t="str">
        <f>IF(OR(Start!$B$3="Sachbericht",Start!$B$3="Fortsetzungsantrag"),"Die Beträge in Spalte H dürfen nicht mehr geändert werden! Eine Kostenindexierung findet nicht (mehr) statt.",IF(Start!$B$3="Fortsetzungsantrag zur Festlegung der Förderobergrenze","Übernehmen Sie in Spalte H die Ergebnisse der aktuellen Kostenberechnungen. Eine Preisindexierung findet nur statt, wenn der Beginn der Umsetzung in der Zukunft liegt. Die Jahre bis dahin berechnen sich nun ab dem neuen Antragsdatum.",""))</f>
        <v/>
      </c>
    </row>
    <row r="4" spans="1:29" ht="15.75" thickBot="1">
      <c r="B4" s="373" t="str">
        <f>IF(SUM(Zuw_Ausgaben[Z])&lt;&gt;Zuw_Ausgaben[[#Totals],[Z]],"Achtung: Es wurden Teilmaßnahmen mit Ausgaben ausgeblendet!","")</f>
        <v/>
      </c>
    </row>
    <row r="5" spans="1:29" ht="29.45" customHeight="1">
      <c r="A5" s="55" t="s">
        <v>33</v>
      </c>
      <c r="D5" s="22" t="s">
        <v>34</v>
      </c>
      <c r="E5" s="23"/>
      <c r="F5" s="24"/>
      <c r="G5" s="149"/>
      <c r="H5" s="475" t="str">
        <f>IF(OR(Start!B3="Fortsetzungsantrag",Start!B3="Sachbericht"),"Keine Änderungen!","")</f>
        <v/>
      </c>
      <c r="I5" s="302"/>
      <c r="J5" s="288" t="str">
        <f>IF(Start!B3="Erstantrag","Kostenindexierung für vorläufige Förderobergrenze",IF(Start!B3="Fortsetzungsantrag zur Festlegung der Förderobergrenze","Kostenindexierung für endgültige Förderobergrenze","Kostenindexierung wurde bereits berücksichtigt"))</f>
        <v>Kostenindexierung für vorläufige Förderobergrenze</v>
      </c>
      <c r="K5" s="301"/>
      <c r="L5" t="s">
        <v>35</v>
      </c>
    </row>
    <row r="6" spans="1:29" s="2" customFormat="1" ht="60.6" customHeight="1">
      <c r="A6" s="489" t="s">
        <v>36</v>
      </c>
      <c r="B6" s="491" t="s">
        <v>37</v>
      </c>
      <c r="C6" s="493" t="s">
        <v>38</v>
      </c>
      <c r="D6" s="499" t="s">
        <v>39</v>
      </c>
      <c r="E6" s="501" t="s">
        <v>40</v>
      </c>
      <c r="F6" s="501" t="s">
        <v>41</v>
      </c>
      <c r="G6" s="503" t="s">
        <v>42</v>
      </c>
      <c r="H6" s="303" t="s">
        <v>43</v>
      </c>
      <c r="I6" s="505" t="s">
        <v>44</v>
      </c>
      <c r="J6" s="305" t="s">
        <v>45</v>
      </c>
      <c r="K6" s="293" t="s">
        <v>46</v>
      </c>
      <c r="L6" s="51" t="s">
        <v>47</v>
      </c>
      <c r="M6" s="51" t="str">
        <f>IF(M7&lt;Start!$B$11,"Ist Ausgaben"&amp;CHAR(10)&amp;"€","Planung"&amp;CHAR(10)&amp;"€")</f>
        <v>Planung
€</v>
      </c>
      <c r="N6" s="51" t="str">
        <f>IF(N7&lt;Start!$B$11,"Ist Ausgaben"&amp;CHAR(10)&amp;"€","Planung"&amp;CHAR(10)&amp;"€")</f>
        <v>Planung
€</v>
      </c>
      <c r="O6" s="51" t="str">
        <f>IF(O7&lt;Start!$B$11,"Ist Ausgaben"&amp;CHAR(10)&amp;"€","Planung"&amp;CHAR(10)&amp;"€")</f>
        <v>Planung
€</v>
      </c>
      <c r="P6" s="51" t="str">
        <f>IF(P7&lt;Start!$B$11,"Ist Ausgaben"&amp;CHAR(10)&amp;"€","Planung"&amp;CHAR(10)&amp;"€")</f>
        <v>Planung
€</v>
      </c>
      <c r="Q6" s="51" t="str">
        <f>IF(Q7&lt;Start!$B$11,"Ist Ausgaben"&amp;CHAR(10)&amp;"€","Planung"&amp;CHAR(10)&amp;"€")</f>
        <v>Planung
€</v>
      </c>
      <c r="R6" s="51" t="str">
        <f>IF(R7&lt;Start!$B$11,"Ist Ausgaben"&amp;CHAR(10)&amp;"€","Planung"&amp;CHAR(10)&amp;"€")</f>
        <v>Planung
€</v>
      </c>
      <c r="S6" s="51" t="str">
        <f>IF(S7&lt;Start!$B$11,"Ist Ausgaben"&amp;CHAR(10)&amp;"€","Planung"&amp;CHAR(10)&amp;"€")</f>
        <v>Planung
€</v>
      </c>
      <c r="T6" s="51" t="str">
        <f>IF(T7&lt;Start!$B$11,"Ist Ausgaben"&amp;CHAR(10)&amp;"€","Planung"&amp;CHAR(10)&amp;"€")</f>
        <v>Planung
€</v>
      </c>
      <c r="U6" s="51" t="str">
        <f>IF(U7&lt;Start!$B$11,"Ist Ausgaben"&amp;CHAR(10)&amp;"€","Planung"&amp;CHAR(10)&amp;"€")</f>
        <v>Planung
€</v>
      </c>
      <c r="V6" s="51" t="str">
        <f>IF(V7&lt;Start!$B$11,"Ist Ausgaben"&amp;CHAR(10)&amp;"€","Planung"&amp;CHAR(10)&amp;"€")</f>
        <v>Planung
€</v>
      </c>
      <c r="W6" s="382" t="str">
        <f>IF(W7&lt;Start!$B$11,"Ist Ausgaben"&amp;CHAR(10)&amp;"€","Planung"&amp;CHAR(10)&amp;"€")</f>
        <v>Planung
€</v>
      </c>
      <c r="X6" s="382" t="str">
        <f>IF(X7&lt;Start!$B$11,"Ist Ausgaben"&amp;CHAR(10)&amp;"€","Planung"&amp;CHAR(10)&amp;"€")</f>
        <v>Planung
€</v>
      </c>
      <c r="Y6" s="382" t="str">
        <f>IF(Y7&lt;Start!$B$11,"Ist Ausgaben"&amp;CHAR(10)&amp;"€","Planung"&amp;CHAR(10)&amp;"€")</f>
        <v>Planung
€</v>
      </c>
      <c r="Z6" s="495" t="s">
        <v>48</v>
      </c>
      <c r="AA6" s="497" t="s">
        <v>49</v>
      </c>
      <c r="AB6" s="215" t="s">
        <v>50</v>
      </c>
      <c r="AC6" s="215" t="s">
        <v>51</v>
      </c>
    </row>
    <row r="7" spans="1:29" s="2" customFormat="1" ht="24.6" customHeight="1">
      <c r="A7" s="490"/>
      <c r="B7" s="492"/>
      <c r="C7" s="494"/>
      <c r="D7" s="500"/>
      <c r="E7" s="502"/>
      <c r="F7" s="502"/>
      <c r="G7" s="504"/>
      <c r="H7" s="304">
        <f>IF(Start!B8="",Start!B6,Start!B8)</f>
        <v>0</v>
      </c>
      <c r="I7" s="506"/>
      <c r="J7" s="370">
        <f>IF(Start!B3="Erstantrag",Start!B7,IF(Start!B3="Fortsetzungsantrag zur Festlegung der Förderobergrenze",Start!B9,""))</f>
        <v>0</v>
      </c>
      <c r="K7" s="294" t="s">
        <v>52</v>
      </c>
      <c r="L7" s="15">
        <f>IF(Start!$B$22="",Start!$B$11-1,YEAR(Start!$B$22)-1)</f>
        <v>-1</v>
      </c>
      <c r="M7" s="16">
        <f>L7+1</f>
        <v>0</v>
      </c>
      <c r="N7" s="16">
        <f t="shared" ref="N7:Y7" si="0">M7+1</f>
        <v>1</v>
      </c>
      <c r="O7" s="16">
        <f t="shared" si="0"/>
        <v>2</v>
      </c>
      <c r="P7" s="16">
        <f t="shared" si="0"/>
        <v>3</v>
      </c>
      <c r="Q7" s="16">
        <f t="shared" si="0"/>
        <v>4</v>
      </c>
      <c r="R7" s="16">
        <f t="shared" si="0"/>
        <v>5</v>
      </c>
      <c r="S7" s="16">
        <f t="shared" si="0"/>
        <v>6</v>
      </c>
      <c r="T7" s="16">
        <f t="shared" si="0"/>
        <v>7</v>
      </c>
      <c r="U7" s="16">
        <f t="shared" si="0"/>
        <v>8</v>
      </c>
      <c r="V7" s="16">
        <f t="shared" si="0"/>
        <v>9</v>
      </c>
      <c r="W7" s="383">
        <f t="shared" si="0"/>
        <v>10</v>
      </c>
      <c r="X7" s="383">
        <f t="shared" si="0"/>
        <v>11</v>
      </c>
      <c r="Y7" s="383">
        <f t="shared" si="0"/>
        <v>12</v>
      </c>
      <c r="Z7" s="496"/>
      <c r="AA7" s="498"/>
      <c r="AB7" s="216" t="s">
        <v>53</v>
      </c>
      <c r="AC7" s="216" t="s">
        <v>53</v>
      </c>
    </row>
    <row r="8" spans="1:29" s="54" customFormat="1" ht="16.149999999999999" customHeight="1">
      <c r="A8" s="52" t="s">
        <v>54</v>
      </c>
      <c r="B8" s="52" t="s">
        <v>55</v>
      </c>
      <c r="C8" s="169" t="s">
        <v>56</v>
      </c>
      <c r="D8" s="289" t="s">
        <v>57</v>
      </c>
      <c r="E8" s="52" t="s">
        <v>58</v>
      </c>
      <c r="F8" s="52" t="s">
        <v>59</v>
      </c>
      <c r="G8" s="295" t="s">
        <v>60</v>
      </c>
      <c r="H8" s="289" t="s">
        <v>61</v>
      </c>
      <c r="I8" s="169" t="s">
        <v>62</v>
      </c>
      <c r="J8" s="289" t="s">
        <v>63</v>
      </c>
      <c r="K8" s="295" t="s">
        <v>64</v>
      </c>
      <c r="L8" s="291" t="s">
        <v>65</v>
      </c>
      <c r="M8" s="52" t="s">
        <v>66</v>
      </c>
      <c r="N8" s="52" t="s">
        <v>67</v>
      </c>
      <c r="O8" s="52" t="s">
        <v>68</v>
      </c>
      <c r="P8" s="53" t="s">
        <v>69</v>
      </c>
      <c r="Q8" s="52" t="s">
        <v>70</v>
      </c>
      <c r="R8" s="52" t="s">
        <v>71</v>
      </c>
      <c r="S8" s="52" t="s">
        <v>72</v>
      </c>
      <c r="T8" s="52" t="s">
        <v>73</v>
      </c>
      <c r="U8" s="52" t="s">
        <v>74</v>
      </c>
      <c r="V8" s="52" t="s">
        <v>75</v>
      </c>
      <c r="W8" s="52" t="s">
        <v>76</v>
      </c>
      <c r="X8" s="52" t="s">
        <v>77</v>
      </c>
      <c r="Y8" s="52" t="s">
        <v>78</v>
      </c>
      <c r="Z8" s="52" t="s">
        <v>79</v>
      </c>
      <c r="AA8" s="52" t="s">
        <v>80</v>
      </c>
      <c r="AB8" s="53" t="s">
        <v>81</v>
      </c>
      <c r="AC8" s="52" t="s">
        <v>82</v>
      </c>
    </row>
    <row r="9" spans="1:29" s="2" customFormat="1">
      <c r="A9" s="341">
        <v>1</v>
      </c>
      <c r="B9" s="170"/>
      <c r="C9" s="296"/>
      <c r="D9" s="297"/>
      <c r="E9" s="171"/>
      <c r="F9" s="171"/>
      <c r="G9" s="298"/>
      <c r="H9" s="290"/>
      <c r="I9" s="339" t="str">
        <f>IF(YEAR(Zuw_Ausgaben[[#This Row],[E]])&gt;YEAR($H$7),YEAR(Zuw_Ausgaben[[#This Row],[E]])-YEAR($H$7),"")</f>
        <v/>
      </c>
      <c r="J9" s="349">
        <f>IF(Zuw_Ausgaben[[#This Row],[I]]&lt;&gt;"",ROUND(Zuw_Ausgaben[[#This Row],[H]]+Zuw_Ausgaben[[#This Row],[H]]*Zuw_Ausgaben[[#This Row],[I]]*$J$7,-3),Zuw_Ausgaben[[#This Row],[H]])</f>
        <v>0</v>
      </c>
      <c r="K9" s="350">
        <f>Zuw_Ausgaben[[#This Row],[J]]-Zuw_Ausgaben[[#This Row],[Z]]</f>
        <v>0</v>
      </c>
      <c r="L9" s="292"/>
      <c r="M9" s="172"/>
      <c r="N9" s="172"/>
      <c r="O9" s="172"/>
      <c r="P9" s="172"/>
      <c r="Q9" s="172"/>
      <c r="R9" s="172"/>
      <c r="S9" s="172"/>
      <c r="T9" s="172"/>
      <c r="U9" s="172"/>
      <c r="V9" s="172"/>
      <c r="W9" s="172"/>
      <c r="X9" s="172"/>
      <c r="Y9" s="172"/>
      <c r="Z9" s="66">
        <f>SUM(Zuw_Ausgaben[[#This Row],[L]:[Y]])</f>
        <v>0</v>
      </c>
      <c r="AA9" s="343" t="str">
        <f>IF(Zuw_Ausgaben[[#This Row],[Z]]-Zuw_Ausgaben[[#This Row],[H]]&lt;&gt;0,Zuw_Ausgaben[[#This Row],[Z]]-Zuw_Ausgaben[[#This Row],[H]],"")</f>
        <v/>
      </c>
      <c r="AB9" s="344" t="str">
        <f>IF(Zuw_Ausgaben[[#This Row],[AA]]&lt;&gt;"",IFERROR(Zuw_Ausgaben[[#This Row],[AA]]/Zuw_Ausgaben[[#This Row],[H]],""),"")</f>
        <v/>
      </c>
      <c r="AC9" s="344" t="str">
        <f>IFERROR(IF(Zuw_Ausgaben[[#This Row],[AB]]&lt;&gt;"",Zuw_Ausgaben[[#This Row],[AB]]/Zuw_Ausgaben[[#This Row],[I]],""),Zuw_Ausgaben[[#This Row],[AB]])</f>
        <v/>
      </c>
    </row>
    <row r="10" spans="1:29" s="2" customFormat="1">
      <c r="A10" s="341">
        <v>2</v>
      </c>
      <c r="B10" s="170"/>
      <c r="C10" s="296"/>
      <c r="D10" s="297"/>
      <c r="E10" s="171"/>
      <c r="F10" s="171"/>
      <c r="G10" s="298"/>
      <c r="H10" s="290"/>
      <c r="I10" s="339" t="str">
        <f>IF(YEAR(Zuw_Ausgaben[[#This Row],[E]])&gt;YEAR($H$7),YEAR(Zuw_Ausgaben[[#This Row],[E]])-YEAR($H$7),"")</f>
        <v/>
      </c>
      <c r="J10" s="349">
        <f>IF(Zuw_Ausgaben[[#This Row],[I]]&lt;&gt;"",ROUND(Zuw_Ausgaben[[#This Row],[H]]+Zuw_Ausgaben[[#This Row],[H]]*Zuw_Ausgaben[[#This Row],[I]]*$J$7,-3),Zuw_Ausgaben[[#This Row],[H]])</f>
        <v>0</v>
      </c>
      <c r="K10" s="350">
        <f>Zuw_Ausgaben[[#This Row],[J]]-Zuw_Ausgaben[[#This Row],[Z]]</f>
        <v>0</v>
      </c>
      <c r="L10" s="292"/>
      <c r="M10" s="172"/>
      <c r="N10" s="172"/>
      <c r="O10" s="172"/>
      <c r="P10" s="172"/>
      <c r="Q10" s="172"/>
      <c r="R10" s="172"/>
      <c r="S10" s="172"/>
      <c r="T10" s="172"/>
      <c r="U10" s="172"/>
      <c r="V10" s="172"/>
      <c r="W10" s="172"/>
      <c r="X10" s="172"/>
      <c r="Y10" s="172"/>
      <c r="Z10" s="66">
        <f>SUM(Zuw_Ausgaben[[#This Row],[L]:[Y]])</f>
        <v>0</v>
      </c>
      <c r="AA10" s="343" t="str">
        <f>IF(Zuw_Ausgaben[[#This Row],[Z]]-Zuw_Ausgaben[[#This Row],[H]]&lt;&gt;0,Zuw_Ausgaben[[#This Row],[Z]]-Zuw_Ausgaben[[#This Row],[H]],"")</f>
        <v/>
      </c>
      <c r="AB10" s="344" t="str">
        <f>IF(Zuw_Ausgaben[[#This Row],[AA]]&lt;&gt;"",IFERROR(Zuw_Ausgaben[[#This Row],[AA]]/Zuw_Ausgaben[[#This Row],[H]],""),"")</f>
        <v/>
      </c>
      <c r="AC10" s="344" t="str">
        <f>IFERROR(IF(Zuw_Ausgaben[[#This Row],[AB]]&lt;&gt;"",Zuw_Ausgaben[[#This Row],[AB]]/Zuw_Ausgaben[[#This Row],[I]],""),Zuw_Ausgaben[[#This Row],[AB]])</f>
        <v/>
      </c>
    </row>
    <row r="11" spans="1:29" s="2" customFormat="1">
      <c r="A11" s="341">
        <v>3</v>
      </c>
      <c r="B11" s="170"/>
      <c r="C11" s="296"/>
      <c r="D11" s="297"/>
      <c r="E11" s="171"/>
      <c r="F11" s="171"/>
      <c r="G11" s="298"/>
      <c r="H11" s="290"/>
      <c r="I11" s="339" t="str">
        <f>IF(YEAR(Zuw_Ausgaben[[#This Row],[E]])&gt;YEAR($H$7),YEAR(Zuw_Ausgaben[[#This Row],[E]])-YEAR($H$7),"")</f>
        <v/>
      </c>
      <c r="J11" s="349">
        <f>IF(Zuw_Ausgaben[[#This Row],[I]]&lt;&gt;"",ROUND(Zuw_Ausgaben[[#This Row],[H]]+Zuw_Ausgaben[[#This Row],[H]]*Zuw_Ausgaben[[#This Row],[I]]*$J$7,-3),Zuw_Ausgaben[[#This Row],[H]])</f>
        <v>0</v>
      </c>
      <c r="K11" s="350">
        <f>Zuw_Ausgaben[[#This Row],[J]]-Zuw_Ausgaben[[#This Row],[Z]]</f>
        <v>0</v>
      </c>
      <c r="L11" s="292"/>
      <c r="M11" s="172"/>
      <c r="N11" s="172"/>
      <c r="O11" s="172"/>
      <c r="P11" s="172"/>
      <c r="Q11" s="172"/>
      <c r="R11" s="172"/>
      <c r="S11" s="172"/>
      <c r="T11" s="172"/>
      <c r="U11" s="172"/>
      <c r="V11" s="172"/>
      <c r="W11" s="172"/>
      <c r="X11" s="172"/>
      <c r="Y11" s="172"/>
      <c r="Z11" s="66">
        <f>SUM(Zuw_Ausgaben[[#This Row],[L]:[Y]])</f>
        <v>0</v>
      </c>
      <c r="AA11" s="343" t="str">
        <f>IF(Zuw_Ausgaben[[#This Row],[Z]]-Zuw_Ausgaben[[#This Row],[H]]&lt;&gt;0,Zuw_Ausgaben[[#This Row],[Z]]-Zuw_Ausgaben[[#This Row],[H]],"")</f>
        <v/>
      </c>
      <c r="AB11" s="344" t="str">
        <f>IF(Zuw_Ausgaben[[#This Row],[AA]]&lt;&gt;"",IFERROR(Zuw_Ausgaben[[#This Row],[AA]]/Zuw_Ausgaben[[#This Row],[H]],""),"")</f>
        <v/>
      </c>
      <c r="AC11" s="344" t="str">
        <f>IFERROR(IF(Zuw_Ausgaben[[#This Row],[AB]]&lt;&gt;"",Zuw_Ausgaben[[#This Row],[AB]]/Zuw_Ausgaben[[#This Row],[I]],""),Zuw_Ausgaben[[#This Row],[AB]])</f>
        <v/>
      </c>
    </row>
    <row r="12" spans="1:29" s="2" customFormat="1">
      <c r="A12" s="341">
        <v>4</v>
      </c>
      <c r="B12" s="170"/>
      <c r="C12" s="296"/>
      <c r="D12" s="297"/>
      <c r="E12" s="171"/>
      <c r="F12" s="171"/>
      <c r="G12" s="298"/>
      <c r="H12" s="290"/>
      <c r="I12" s="339" t="str">
        <f>IF(YEAR(Zuw_Ausgaben[[#This Row],[E]])&gt;YEAR($H$7),YEAR(Zuw_Ausgaben[[#This Row],[E]])-YEAR($H$7),"")</f>
        <v/>
      </c>
      <c r="J12" s="349">
        <f>IF(Zuw_Ausgaben[[#This Row],[I]]&lt;&gt;"",ROUND(Zuw_Ausgaben[[#This Row],[H]]+Zuw_Ausgaben[[#This Row],[H]]*Zuw_Ausgaben[[#This Row],[I]]*$J$7,-3),Zuw_Ausgaben[[#This Row],[H]])</f>
        <v>0</v>
      </c>
      <c r="K12" s="350">
        <f>Zuw_Ausgaben[[#This Row],[J]]-Zuw_Ausgaben[[#This Row],[Z]]</f>
        <v>0</v>
      </c>
      <c r="L12" s="292"/>
      <c r="M12" s="172"/>
      <c r="N12" s="172"/>
      <c r="O12" s="172"/>
      <c r="P12" s="172"/>
      <c r="Q12" s="172"/>
      <c r="R12" s="172"/>
      <c r="S12" s="172"/>
      <c r="T12" s="172"/>
      <c r="U12" s="172"/>
      <c r="V12" s="172"/>
      <c r="W12" s="172"/>
      <c r="X12" s="172"/>
      <c r="Y12" s="172"/>
      <c r="Z12" s="66">
        <f>SUM(Zuw_Ausgaben[[#This Row],[L]:[Y]])</f>
        <v>0</v>
      </c>
      <c r="AA12" s="343" t="str">
        <f>IF(Zuw_Ausgaben[[#This Row],[Z]]-Zuw_Ausgaben[[#This Row],[H]]&lt;&gt;0,Zuw_Ausgaben[[#This Row],[Z]]-Zuw_Ausgaben[[#This Row],[H]],"")</f>
        <v/>
      </c>
      <c r="AB12" s="344" t="str">
        <f>IF(Zuw_Ausgaben[[#This Row],[AA]]&lt;&gt;"",IFERROR(Zuw_Ausgaben[[#This Row],[AA]]/Zuw_Ausgaben[[#This Row],[H]],""),"")</f>
        <v/>
      </c>
      <c r="AC12" s="344" t="str">
        <f>IFERROR(IF(Zuw_Ausgaben[[#This Row],[AB]]&lt;&gt;"",Zuw_Ausgaben[[#This Row],[AB]]/Zuw_Ausgaben[[#This Row],[I]],""),Zuw_Ausgaben[[#This Row],[AB]])</f>
        <v/>
      </c>
    </row>
    <row r="13" spans="1:29" s="2" customFormat="1">
      <c r="A13" s="341">
        <v>5</v>
      </c>
      <c r="B13" s="170"/>
      <c r="C13" s="296"/>
      <c r="D13" s="297"/>
      <c r="E13" s="171"/>
      <c r="F13" s="171"/>
      <c r="G13" s="298"/>
      <c r="H13" s="290"/>
      <c r="I13" s="339" t="str">
        <f>IF(YEAR(Zuw_Ausgaben[[#This Row],[E]])&gt;YEAR($H$7),YEAR(Zuw_Ausgaben[[#This Row],[E]])-YEAR($H$7),"")</f>
        <v/>
      </c>
      <c r="J13" s="349">
        <f>IF(Zuw_Ausgaben[[#This Row],[I]]&lt;&gt;"",ROUND(Zuw_Ausgaben[[#This Row],[H]]+Zuw_Ausgaben[[#This Row],[H]]*Zuw_Ausgaben[[#This Row],[I]]*$J$7,-3),Zuw_Ausgaben[[#This Row],[H]])</f>
        <v>0</v>
      </c>
      <c r="K13" s="350">
        <f>Zuw_Ausgaben[[#This Row],[J]]-Zuw_Ausgaben[[#This Row],[Z]]</f>
        <v>0</v>
      </c>
      <c r="L13" s="292"/>
      <c r="M13" s="172"/>
      <c r="N13" s="172"/>
      <c r="O13" s="172"/>
      <c r="P13" s="172"/>
      <c r="Q13" s="172"/>
      <c r="R13" s="172"/>
      <c r="S13" s="172"/>
      <c r="T13" s="172"/>
      <c r="U13" s="172"/>
      <c r="V13" s="172"/>
      <c r="W13" s="172"/>
      <c r="X13" s="172"/>
      <c r="Y13" s="172"/>
      <c r="Z13" s="66">
        <f>SUM(Zuw_Ausgaben[[#This Row],[L]:[Y]])</f>
        <v>0</v>
      </c>
      <c r="AA13" s="343" t="str">
        <f>IF(Zuw_Ausgaben[[#This Row],[Z]]-Zuw_Ausgaben[[#This Row],[H]]&lt;&gt;0,Zuw_Ausgaben[[#This Row],[Z]]-Zuw_Ausgaben[[#This Row],[H]],"")</f>
        <v/>
      </c>
      <c r="AB13" s="344" t="str">
        <f>IF(Zuw_Ausgaben[[#This Row],[AA]]&lt;&gt;"",IFERROR(Zuw_Ausgaben[[#This Row],[AA]]/Zuw_Ausgaben[[#This Row],[H]],""),"")</f>
        <v/>
      </c>
      <c r="AC13" s="344" t="str">
        <f>IFERROR(IF(Zuw_Ausgaben[[#This Row],[AB]]&lt;&gt;"",Zuw_Ausgaben[[#This Row],[AB]]/Zuw_Ausgaben[[#This Row],[I]],""),Zuw_Ausgaben[[#This Row],[AB]])</f>
        <v/>
      </c>
    </row>
    <row r="14" spans="1:29" s="2" customFormat="1">
      <c r="A14" s="341">
        <v>6</v>
      </c>
      <c r="B14" s="170"/>
      <c r="C14" s="296"/>
      <c r="D14" s="297"/>
      <c r="E14" s="171"/>
      <c r="F14" s="171"/>
      <c r="G14" s="298"/>
      <c r="H14" s="290"/>
      <c r="I14" s="339" t="str">
        <f>IF(YEAR(Zuw_Ausgaben[[#This Row],[E]])&gt;YEAR($H$7),YEAR(Zuw_Ausgaben[[#This Row],[E]])-YEAR($H$7),"")</f>
        <v/>
      </c>
      <c r="J14" s="349">
        <f>IF(Zuw_Ausgaben[[#This Row],[I]]&lt;&gt;"",ROUND(Zuw_Ausgaben[[#This Row],[H]]+Zuw_Ausgaben[[#This Row],[H]]*Zuw_Ausgaben[[#This Row],[I]]*$J$7,-3),Zuw_Ausgaben[[#This Row],[H]])</f>
        <v>0</v>
      </c>
      <c r="K14" s="350">
        <f>Zuw_Ausgaben[[#This Row],[J]]-Zuw_Ausgaben[[#This Row],[Z]]</f>
        <v>0</v>
      </c>
      <c r="L14" s="292"/>
      <c r="M14" s="172"/>
      <c r="N14" s="172"/>
      <c r="O14" s="172"/>
      <c r="P14" s="172"/>
      <c r="Q14" s="172"/>
      <c r="R14" s="172"/>
      <c r="S14" s="172"/>
      <c r="T14" s="172"/>
      <c r="U14" s="172"/>
      <c r="V14" s="172"/>
      <c r="W14" s="172"/>
      <c r="X14" s="172"/>
      <c r="Y14" s="172"/>
      <c r="Z14" s="66">
        <f>SUM(Zuw_Ausgaben[[#This Row],[L]:[Y]])</f>
        <v>0</v>
      </c>
      <c r="AA14" s="343" t="str">
        <f>IF(Zuw_Ausgaben[[#This Row],[Z]]-Zuw_Ausgaben[[#This Row],[H]]&lt;&gt;0,Zuw_Ausgaben[[#This Row],[Z]]-Zuw_Ausgaben[[#This Row],[H]],"")</f>
        <v/>
      </c>
      <c r="AB14" s="344" t="str">
        <f>IF(Zuw_Ausgaben[[#This Row],[AA]]&lt;&gt;"",IFERROR(Zuw_Ausgaben[[#This Row],[AA]]/Zuw_Ausgaben[[#This Row],[H]],""),"")</f>
        <v/>
      </c>
      <c r="AC14" s="344" t="str">
        <f>IFERROR(IF(Zuw_Ausgaben[[#This Row],[AB]]&lt;&gt;"",Zuw_Ausgaben[[#This Row],[AB]]/Zuw_Ausgaben[[#This Row],[I]],""),Zuw_Ausgaben[[#This Row],[AB]])</f>
        <v/>
      </c>
    </row>
    <row r="15" spans="1:29" s="2" customFormat="1">
      <c r="A15" s="341">
        <v>7</v>
      </c>
      <c r="B15" s="170"/>
      <c r="C15" s="296"/>
      <c r="D15" s="297"/>
      <c r="E15" s="171"/>
      <c r="F15" s="171"/>
      <c r="G15" s="298"/>
      <c r="H15" s="290"/>
      <c r="I15" s="339" t="str">
        <f>IF(YEAR(Zuw_Ausgaben[[#This Row],[E]])&gt;YEAR($H$7),YEAR(Zuw_Ausgaben[[#This Row],[E]])-YEAR($H$7),"")</f>
        <v/>
      </c>
      <c r="J15" s="349">
        <f>IF(Zuw_Ausgaben[[#This Row],[I]]&lt;&gt;"",ROUND(Zuw_Ausgaben[[#This Row],[H]]+Zuw_Ausgaben[[#This Row],[H]]*Zuw_Ausgaben[[#This Row],[I]]*$J$7,-3),Zuw_Ausgaben[[#This Row],[H]])</f>
        <v>0</v>
      </c>
      <c r="K15" s="350">
        <f>Zuw_Ausgaben[[#This Row],[J]]-Zuw_Ausgaben[[#This Row],[Z]]</f>
        <v>0</v>
      </c>
      <c r="L15" s="292"/>
      <c r="M15" s="172"/>
      <c r="N15" s="172"/>
      <c r="O15" s="172"/>
      <c r="P15" s="172"/>
      <c r="Q15" s="172"/>
      <c r="R15" s="172"/>
      <c r="S15" s="172"/>
      <c r="T15" s="172"/>
      <c r="U15" s="172"/>
      <c r="V15" s="172"/>
      <c r="W15" s="172"/>
      <c r="X15" s="172"/>
      <c r="Y15" s="172"/>
      <c r="Z15" s="66">
        <f>SUM(Zuw_Ausgaben[[#This Row],[L]:[Y]])</f>
        <v>0</v>
      </c>
      <c r="AA15" s="343" t="str">
        <f>IF(Zuw_Ausgaben[[#This Row],[Z]]-Zuw_Ausgaben[[#This Row],[H]]&lt;&gt;0,Zuw_Ausgaben[[#This Row],[Z]]-Zuw_Ausgaben[[#This Row],[H]],"")</f>
        <v/>
      </c>
      <c r="AB15" s="344" t="str">
        <f>IF(Zuw_Ausgaben[[#This Row],[AA]]&lt;&gt;"",IFERROR(Zuw_Ausgaben[[#This Row],[AA]]/Zuw_Ausgaben[[#This Row],[H]],""),"")</f>
        <v/>
      </c>
      <c r="AC15" s="344" t="str">
        <f>IFERROR(IF(Zuw_Ausgaben[[#This Row],[AB]]&lt;&gt;"",Zuw_Ausgaben[[#This Row],[AB]]/Zuw_Ausgaben[[#This Row],[I]],""),Zuw_Ausgaben[[#This Row],[AB]])</f>
        <v/>
      </c>
    </row>
    <row r="16" spans="1:29" s="2" customFormat="1">
      <c r="A16" s="341">
        <v>8</v>
      </c>
      <c r="B16" s="170"/>
      <c r="C16" s="296"/>
      <c r="D16" s="297"/>
      <c r="E16" s="171"/>
      <c r="F16" s="171"/>
      <c r="G16" s="298"/>
      <c r="H16" s="290"/>
      <c r="I16" s="339" t="str">
        <f>IF(YEAR(Zuw_Ausgaben[[#This Row],[E]])&gt;YEAR($H$7),YEAR(Zuw_Ausgaben[[#This Row],[E]])-YEAR($H$7),"")</f>
        <v/>
      </c>
      <c r="J16" s="349">
        <f>IF(Zuw_Ausgaben[[#This Row],[I]]&lt;&gt;"",ROUND(Zuw_Ausgaben[[#This Row],[H]]+Zuw_Ausgaben[[#This Row],[H]]*Zuw_Ausgaben[[#This Row],[I]]*$J$7,-3),Zuw_Ausgaben[[#This Row],[H]])</f>
        <v>0</v>
      </c>
      <c r="K16" s="350">
        <f>Zuw_Ausgaben[[#This Row],[J]]-Zuw_Ausgaben[[#This Row],[Z]]</f>
        <v>0</v>
      </c>
      <c r="L16" s="292"/>
      <c r="M16" s="172"/>
      <c r="N16" s="172"/>
      <c r="O16" s="172"/>
      <c r="P16" s="172"/>
      <c r="Q16" s="172"/>
      <c r="R16" s="172"/>
      <c r="S16" s="172"/>
      <c r="T16" s="172"/>
      <c r="U16" s="172"/>
      <c r="V16" s="172"/>
      <c r="W16" s="172"/>
      <c r="X16" s="172"/>
      <c r="Y16" s="172"/>
      <c r="Z16" s="66">
        <f>SUM(Zuw_Ausgaben[[#This Row],[L]:[Y]])</f>
        <v>0</v>
      </c>
      <c r="AA16" s="343" t="str">
        <f>IF(Zuw_Ausgaben[[#This Row],[Z]]-Zuw_Ausgaben[[#This Row],[H]]&lt;&gt;0,Zuw_Ausgaben[[#This Row],[Z]]-Zuw_Ausgaben[[#This Row],[H]],"")</f>
        <v/>
      </c>
      <c r="AB16" s="344" t="str">
        <f>IF(Zuw_Ausgaben[[#This Row],[AA]]&lt;&gt;"",IFERROR(Zuw_Ausgaben[[#This Row],[AA]]/Zuw_Ausgaben[[#This Row],[H]],""),"")</f>
        <v/>
      </c>
      <c r="AC16" s="344" t="str">
        <f>IFERROR(IF(Zuw_Ausgaben[[#This Row],[AB]]&lt;&gt;"",Zuw_Ausgaben[[#This Row],[AB]]/Zuw_Ausgaben[[#This Row],[I]],""),Zuw_Ausgaben[[#This Row],[AB]])</f>
        <v/>
      </c>
    </row>
    <row r="17" spans="1:29" s="2" customFormat="1">
      <c r="A17" s="341">
        <v>9</v>
      </c>
      <c r="B17" s="170"/>
      <c r="C17" s="296"/>
      <c r="D17" s="297"/>
      <c r="E17" s="171"/>
      <c r="F17" s="171"/>
      <c r="G17" s="298"/>
      <c r="H17" s="290"/>
      <c r="I17" s="339" t="str">
        <f>IF(YEAR(Zuw_Ausgaben[[#This Row],[E]])&gt;YEAR($H$7),YEAR(Zuw_Ausgaben[[#This Row],[E]])-YEAR($H$7),"")</f>
        <v/>
      </c>
      <c r="J17" s="349">
        <f>IF(Zuw_Ausgaben[[#This Row],[I]]&lt;&gt;"",ROUND(Zuw_Ausgaben[[#This Row],[H]]+Zuw_Ausgaben[[#This Row],[H]]*Zuw_Ausgaben[[#This Row],[I]]*$J$7,-3),Zuw_Ausgaben[[#This Row],[H]])</f>
        <v>0</v>
      </c>
      <c r="K17" s="350">
        <f>Zuw_Ausgaben[[#This Row],[J]]-Zuw_Ausgaben[[#This Row],[Z]]</f>
        <v>0</v>
      </c>
      <c r="L17" s="292"/>
      <c r="M17" s="172"/>
      <c r="N17" s="172"/>
      <c r="O17" s="172"/>
      <c r="P17" s="172"/>
      <c r="Q17" s="172"/>
      <c r="R17" s="172"/>
      <c r="S17" s="172"/>
      <c r="T17" s="172"/>
      <c r="U17" s="172"/>
      <c r="V17" s="172"/>
      <c r="W17" s="172"/>
      <c r="X17" s="172"/>
      <c r="Y17" s="172"/>
      <c r="Z17" s="66">
        <f>SUM(Zuw_Ausgaben[[#This Row],[L]:[Y]])</f>
        <v>0</v>
      </c>
      <c r="AA17" s="343" t="str">
        <f>IF(Zuw_Ausgaben[[#This Row],[Z]]-Zuw_Ausgaben[[#This Row],[H]]&lt;&gt;0,Zuw_Ausgaben[[#This Row],[Z]]-Zuw_Ausgaben[[#This Row],[H]],"")</f>
        <v/>
      </c>
      <c r="AB17" s="344" t="str">
        <f>IF(Zuw_Ausgaben[[#This Row],[AA]]&lt;&gt;"",IFERROR(Zuw_Ausgaben[[#This Row],[AA]]/Zuw_Ausgaben[[#This Row],[H]],""),"")</f>
        <v/>
      </c>
      <c r="AC17" s="344" t="str">
        <f>IFERROR(IF(Zuw_Ausgaben[[#This Row],[AB]]&lt;&gt;"",Zuw_Ausgaben[[#This Row],[AB]]/Zuw_Ausgaben[[#This Row],[I]],""),Zuw_Ausgaben[[#This Row],[AB]])</f>
        <v/>
      </c>
    </row>
    <row r="18" spans="1:29" s="2" customFormat="1">
      <c r="A18" s="341">
        <v>10</v>
      </c>
      <c r="B18" s="170"/>
      <c r="C18" s="296"/>
      <c r="D18" s="297"/>
      <c r="E18" s="171"/>
      <c r="F18" s="171"/>
      <c r="G18" s="298"/>
      <c r="H18" s="290"/>
      <c r="I18" s="339" t="str">
        <f>IF(YEAR(Zuw_Ausgaben[[#This Row],[E]])&gt;YEAR($H$7),YEAR(Zuw_Ausgaben[[#This Row],[E]])-YEAR($H$7),"")</f>
        <v/>
      </c>
      <c r="J18" s="349">
        <f>IF(Zuw_Ausgaben[[#This Row],[I]]&lt;&gt;"",ROUND(Zuw_Ausgaben[[#This Row],[H]]+Zuw_Ausgaben[[#This Row],[H]]*Zuw_Ausgaben[[#This Row],[I]]*$J$7,-3),Zuw_Ausgaben[[#This Row],[H]])</f>
        <v>0</v>
      </c>
      <c r="K18" s="350">
        <f>Zuw_Ausgaben[[#This Row],[J]]-Zuw_Ausgaben[[#This Row],[Z]]</f>
        <v>0</v>
      </c>
      <c r="L18" s="292"/>
      <c r="M18" s="172"/>
      <c r="N18" s="172"/>
      <c r="O18" s="172"/>
      <c r="P18" s="172"/>
      <c r="Q18" s="172"/>
      <c r="R18" s="172"/>
      <c r="S18" s="172"/>
      <c r="T18" s="172"/>
      <c r="U18" s="172"/>
      <c r="V18" s="172"/>
      <c r="W18" s="172"/>
      <c r="X18" s="172"/>
      <c r="Y18" s="172"/>
      <c r="Z18" s="66">
        <f>SUM(Zuw_Ausgaben[[#This Row],[L]:[Y]])</f>
        <v>0</v>
      </c>
      <c r="AA18" s="343" t="str">
        <f>IF(Zuw_Ausgaben[[#This Row],[Z]]-Zuw_Ausgaben[[#This Row],[H]]&lt;&gt;0,Zuw_Ausgaben[[#This Row],[Z]]-Zuw_Ausgaben[[#This Row],[H]],"")</f>
        <v/>
      </c>
      <c r="AB18" s="344" t="str">
        <f>IF(Zuw_Ausgaben[[#This Row],[AA]]&lt;&gt;"",IFERROR(Zuw_Ausgaben[[#This Row],[AA]]/Zuw_Ausgaben[[#This Row],[H]],""),"")</f>
        <v/>
      </c>
      <c r="AC18" s="344" t="str">
        <f>IFERROR(IF(Zuw_Ausgaben[[#This Row],[AB]]&lt;&gt;"",Zuw_Ausgaben[[#This Row],[AB]]/Zuw_Ausgaben[[#This Row],[I]],""),Zuw_Ausgaben[[#This Row],[AB]])</f>
        <v/>
      </c>
    </row>
    <row r="19" spans="1:29" s="2" customFormat="1">
      <c r="A19" s="341">
        <v>11</v>
      </c>
      <c r="B19" s="170"/>
      <c r="C19" s="296"/>
      <c r="D19" s="297"/>
      <c r="E19" s="171"/>
      <c r="F19" s="171"/>
      <c r="G19" s="298"/>
      <c r="H19" s="290"/>
      <c r="I19" s="339" t="str">
        <f>IF(YEAR(Zuw_Ausgaben[[#This Row],[E]])&gt;YEAR($H$7),YEAR(Zuw_Ausgaben[[#This Row],[E]])-YEAR($H$7),"")</f>
        <v/>
      </c>
      <c r="J19" s="349">
        <f>IF(Zuw_Ausgaben[[#This Row],[I]]&lt;&gt;"",ROUND(Zuw_Ausgaben[[#This Row],[H]]+Zuw_Ausgaben[[#This Row],[H]]*Zuw_Ausgaben[[#This Row],[I]]*$J$7,-3),Zuw_Ausgaben[[#This Row],[H]])</f>
        <v>0</v>
      </c>
      <c r="K19" s="350">
        <f>Zuw_Ausgaben[[#This Row],[J]]-Zuw_Ausgaben[[#This Row],[Z]]</f>
        <v>0</v>
      </c>
      <c r="L19" s="292"/>
      <c r="M19" s="172"/>
      <c r="N19" s="172"/>
      <c r="O19" s="172"/>
      <c r="P19" s="172"/>
      <c r="Q19" s="172"/>
      <c r="R19" s="172"/>
      <c r="S19" s="172"/>
      <c r="T19" s="172"/>
      <c r="U19" s="172"/>
      <c r="V19" s="172"/>
      <c r="W19" s="172"/>
      <c r="X19" s="172"/>
      <c r="Y19" s="172"/>
      <c r="Z19" s="66">
        <f>SUM(Zuw_Ausgaben[[#This Row],[L]:[Y]])</f>
        <v>0</v>
      </c>
      <c r="AA19" s="343" t="str">
        <f>IF(Zuw_Ausgaben[[#This Row],[Z]]-Zuw_Ausgaben[[#This Row],[H]]&lt;&gt;0,Zuw_Ausgaben[[#This Row],[Z]]-Zuw_Ausgaben[[#This Row],[H]],"")</f>
        <v/>
      </c>
      <c r="AB19" s="344" t="str">
        <f>IF(Zuw_Ausgaben[[#This Row],[AA]]&lt;&gt;"",IFERROR(Zuw_Ausgaben[[#This Row],[AA]]/Zuw_Ausgaben[[#This Row],[H]],""),"")</f>
        <v/>
      </c>
      <c r="AC19" s="344" t="str">
        <f>IFERROR(IF(Zuw_Ausgaben[[#This Row],[AB]]&lt;&gt;"",Zuw_Ausgaben[[#This Row],[AB]]/Zuw_Ausgaben[[#This Row],[I]],""),Zuw_Ausgaben[[#This Row],[AB]])</f>
        <v/>
      </c>
    </row>
    <row r="20" spans="1:29" s="2" customFormat="1">
      <c r="A20" s="341">
        <v>12</v>
      </c>
      <c r="B20" s="170"/>
      <c r="C20" s="296"/>
      <c r="D20" s="297"/>
      <c r="E20" s="171"/>
      <c r="F20" s="171"/>
      <c r="G20" s="298"/>
      <c r="H20" s="290"/>
      <c r="I20" s="339" t="str">
        <f>IF(YEAR(Zuw_Ausgaben[[#This Row],[E]])&gt;YEAR($H$7),YEAR(Zuw_Ausgaben[[#This Row],[E]])-YEAR($H$7),"")</f>
        <v/>
      </c>
      <c r="J20" s="349">
        <f>IF(Zuw_Ausgaben[[#This Row],[I]]&lt;&gt;"",ROUND(Zuw_Ausgaben[[#This Row],[H]]+Zuw_Ausgaben[[#This Row],[H]]*Zuw_Ausgaben[[#This Row],[I]]*$J$7,-3),Zuw_Ausgaben[[#This Row],[H]])</f>
        <v>0</v>
      </c>
      <c r="K20" s="350">
        <f>Zuw_Ausgaben[[#This Row],[J]]-Zuw_Ausgaben[[#This Row],[Z]]</f>
        <v>0</v>
      </c>
      <c r="L20" s="292"/>
      <c r="M20" s="172"/>
      <c r="N20" s="172"/>
      <c r="O20" s="172"/>
      <c r="P20" s="172"/>
      <c r="Q20" s="172"/>
      <c r="R20" s="172"/>
      <c r="S20" s="172"/>
      <c r="T20" s="172"/>
      <c r="U20" s="172"/>
      <c r="V20" s="172"/>
      <c r="W20" s="172"/>
      <c r="X20" s="172"/>
      <c r="Y20" s="172"/>
      <c r="Z20" s="66">
        <f>SUM(Zuw_Ausgaben[[#This Row],[L]:[Y]])</f>
        <v>0</v>
      </c>
      <c r="AA20" s="343" t="str">
        <f>IF(Zuw_Ausgaben[[#This Row],[Z]]-Zuw_Ausgaben[[#This Row],[H]]&lt;&gt;0,Zuw_Ausgaben[[#This Row],[Z]]-Zuw_Ausgaben[[#This Row],[H]],"")</f>
        <v/>
      </c>
      <c r="AB20" s="344" t="str">
        <f>IF(Zuw_Ausgaben[[#This Row],[AA]]&lt;&gt;"",IFERROR(Zuw_Ausgaben[[#This Row],[AA]]/Zuw_Ausgaben[[#This Row],[H]],""),"")</f>
        <v/>
      </c>
      <c r="AC20" s="344" t="str">
        <f>IFERROR(IF(Zuw_Ausgaben[[#This Row],[AB]]&lt;&gt;"",Zuw_Ausgaben[[#This Row],[AB]]/Zuw_Ausgaben[[#This Row],[I]],""),Zuw_Ausgaben[[#This Row],[AB]])</f>
        <v/>
      </c>
    </row>
    <row r="21" spans="1:29" s="2" customFormat="1">
      <c r="A21" s="341">
        <v>13</v>
      </c>
      <c r="B21" s="170"/>
      <c r="C21" s="296"/>
      <c r="D21" s="297"/>
      <c r="E21" s="171"/>
      <c r="F21" s="171"/>
      <c r="G21" s="298"/>
      <c r="H21" s="290"/>
      <c r="I21" s="339" t="str">
        <f>IF(YEAR(Zuw_Ausgaben[[#This Row],[E]])&gt;YEAR($H$7),YEAR(Zuw_Ausgaben[[#This Row],[E]])-YEAR($H$7),"")</f>
        <v/>
      </c>
      <c r="J21" s="349">
        <f>IF(Zuw_Ausgaben[[#This Row],[I]]&lt;&gt;"",ROUND(Zuw_Ausgaben[[#This Row],[H]]+Zuw_Ausgaben[[#This Row],[H]]*Zuw_Ausgaben[[#This Row],[I]]*$J$7,-3),Zuw_Ausgaben[[#This Row],[H]])</f>
        <v>0</v>
      </c>
      <c r="K21" s="350">
        <f>Zuw_Ausgaben[[#This Row],[J]]-Zuw_Ausgaben[[#This Row],[Z]]</f>
        <v>0</v>
      </c>
      <c r="L21" s="292"/>
      <c r="M21" s="172"/>
      <c r="N21" s="172"/>
      <c r="O21" s="172"/>
      <c r="P21" s="172"/>
      <c r="Q21" s="172"/>
      <c r="R21" s="172"/>
      <c r="S21" s="172"/>
      <c r="T21" s="172"/>
      <c r="U21" s="172"/>
      <c r="V21" s="172"/>
      <c r="W21" s="172"/>
      <c r="X21" s="172"/>
      <c r="Y21" s="172"/>
      <c r="Z21" s="66">
        <f>SUM(Zuw_Ausgaben[[#This Row],[L]:[Y]])</f>
        <v>0</v>
      </c>
      <c r="AA21" s="343" t="str">
        <f>IF(Zuw_Ausgaben[[#This Row],[Z]]-Zuw_Ausgaben[[#This Row],[H]]&lt;&gt;0,Zuw_Ausgaben[[#This Row],[Z]]-Zuw_Ausgaben[[#This Row],[H]],"")</f>
        <v/>
      </c>
      <c r="AB21" s="344" t="str">
        <f>IF(Zuw_Ausgaben[[#This Row],[AA]]&lt;&gt;"",IFERROR(Zuw_Ausgaben[[#This Row],[AA]]/Zuw_Ausgaben[[#This Row],[H]],""),"")</f>
        <v/>
      </c>
      <c r="AC21" s="344" t="str">
        <f>IFERROR(IF(Zuw_Ausgaben[[#This Row],[AB]]&lt;&gt;"",Zuw_Ausgaben[[#This Row],[AB]]/Zuw_Ausgaben[[#This Row],[I]],""),Zuw_Ausgaben[[#This Row],[AB]])</f>
        <v/>
      </c>
    </row>
    <row r="22" spans="1:29" s="2" customFormat="1">
      <c r="A22" s="341">
        <v>14</v>
      </c>
      <c r="B22" s="170"/>
      <c r="C22" s="296"/>
      <c r="D22" s="297"/>
      <c r="E22" s="171"/>
      <c r="F22" s="171"/>
      <c r="G22" s="298"/>
      <c r="H22" s="290"/>
      <c r="I22" s="339" t="str">
        <f>IF(YEAR(Zuw_Ausgaben[[#This Row],[E]])&gt;YEAR($H$7),YEAR(Zuw_Ausgaben[[#This Row],[E]])-YEAR($H$7),"")</f>
        <v/>
      </c>
      <c r="J22" s="349">
        <f>IF(Zuw_Ausgaben[[#This Row],[I]]&lt;&gt;"",ROUND(Zuw_Ausgaben[[#This Row],[H]]+Zuw_Ausgaben[[#This Row],[H]]*Zuw_Ausgaben[[#This Row],[I]]*$J$7,-3),Zuw_Ausgaben[[#This Row],[H]])</f>
        <v>0</v>
      </c>
      <c r="K22" s="350">
        <f>Zuw_Ausgaben[[#This Row],[J]]-Zuw_Ausgaben[[#This Row],[Z]]</f>
        <v>0</v>
      </c>
      <c r="L22" s="292"/>
      <c r="M22" s="172"/>
      <c r="N22" s="172"/>
      <c r="O22" s="172"/>
      <c r="P22" s="172"/>
      <c r="Q22" s="172"/>
      <c r="R22" s="172"/>
      <c r="S22" s="172"/>
      <c r="T22" s="172"/>
      <c r="U22" s="172"/>
      <c r="V22" s="172"/>
      <c r="W22" s="172"/>
      <c r="X22" s="172"/>
      <c r="Y22" s="172"/>
      <c r="Z22" s="66">
        <f>SUM(Zuw_Ausgaben[[#This Row],[L]:[Y]])</f>
        <v>0</v>
      </c>
      <c r="AA22" s="343" t="str">
        <f>IF(Zuw_Ausgaben[[#This Row],[Z]]-Zuw_Ausgaben[[#This Row],[H]]&lt;&gt;0,Zuw_Ausgaben[[#This Row],[Z]]-Zuw_Ausgaben[[#This Row],[H]],"")</f>
        <v/>
      </c>
      <c r="AB22" s="344" t="str">
        <f>IF(Zuw_Ausgaben[[#This Row],[AA]]&lt;&gt;"",IFERROR(Zuw_Ausgaben[[#This Row],[AA]]/Zuw_Ausgaben[[#This Row],[H]],""),"")</f>
        <v/>
      </c>
      <c r="AC22" s="344" t="str">
        <f>IFERROR(IF(Zuw_Ausgaben[[#This Row],[AB]]&lt;&gt;"",Zuw_Ausgaben[[#This Row],[AB]]/Zuw_Ausgaben[[#This Row],[I]],""),Zuw_Ausgaben[[#This Row],[AB]])</f>
        <v/>
      </c>
    </row>
    <row r="23" spans="1:29" s="2" customFormat="1">
      <c r="A23" s="341">
        <v>15</v>
      </c>
      <c r="B23" s="170"/>
      <c r="C23" s="296"/>
      <c r="D23" s="297"/>
      <c r="E23" s="171"/>
      <c r="F23" s="171"/>
      <c r="G23" s="298"/>
      <c r="H23" s="290"/>
      <c r="I23" s="339" t="str">
        <f>IF(YEAR(Zuw_Ausgaben[[#This Row],[E]])&gt;YEAR($H$7),YEAR(Zuw_Ausgaben[[#This Row],[E]])-YEAR($H$7),"")</f>
        <v/>
      </c>
      <c r="J23" s="349">
        <f>IF(Zuw_Ausgaben[[#This Row],[I]]&lt;&gt;"",ROUND(Zuw_Ausgaben[[#This Row],[H]]+Zuw_Ausgaben[[#This Row],[H]]*Zuw_Ausgaben[[#This Row],[I]]*$J$7,-3),Zuw_Ausgaben[[#This Row],[H]])</f>
        <v>0</v>
      </c>
      <c r="K23" s="350">
        <f>Zuw_Ausgaben[[#This Row],[J]]-Zuw_Ausgaben[[#This Row],[Z]]</f>
        <v>0</v>
      </c>
      <c r="L23" s="292"/>
      <c r="M23" s="172"/>
      <c r="N23" s="172"/>
      <c r="O23" s="172"/>
      <c r="P23" s="172"/>
      <c r="Q23" s="172"/>
      <c r="R23" s="172"/>
      <c r="S23" s="172"/>
      <c r="T23" s="172"/>
      <c r="U23" s="172"/>
      <c r="V23" s="172"/>
      <c r="W23" s="172"/>
      <c r="X23" s="172"/>
      <c r="Y23" s="172"/>
      <c r="Z23" s="66">
        <f>SUM(Zuw_Ausgaben[[#This Row],[L]:[Y]])</f>
        <v>0</v>
      </c>
      <c r="AA23" s="343" t="str">
        <f>IF(Zuw_Ausgaben[[#This Row],[Z]]-Zuw_Ausgaben[[#This Row],[H]]&lt;&gt;0,Zuw_Ausgaben[[#This Row],[Z]]-Zuw_Ausgaben[[#This Row],[H]],"")</f>
        <v/>
      </c>
      <c r="AB23" s="344" t="str">
        <f>IF(Zuw_Ausgaben[[#This Row],[AA]]&lt;&gt;"",IFERROR(Zuw_Ausgaben[[#This Row],[AA]]/Zuw_Ausgaben[[#This Row],[H]],""),"")</f>
        <v/>
      </c>
      <c r="AC23" s="344" t="str">
        <f>IFERROR(IF(Zuw_Ausgaben[[#This Row],[AB]]&lt;&gt;"",Zuw_Ausgaben[[#This Row],[AB]]/Zuw_Ausgaben[[#This Row],[I]],""),Zuw_Ausgaben[[#This Row],[AB]])</f>
        <v/>
      </c>
    </row>
    <row r="24" spans="1:29" s="2" customFormat="1">
      <c r="A24" s="341">
        <v>16</v>
      </c>
      <c r="B24" s="170"/>
      <c r="C24" s="296"/>
      <c r="D24" s="297"/>
      <c r="E24" s="171"/>
      <c r="F24" s="171"/>
      <c r="G24" s="298"/>
      <c r="H24" s="290"/>
      <c r="I24" s="339" t="str">
        <f>IF(YEAR(Zuw_Ausgaben[[#This Row],[E]])&gt;YEAR($H$7),YEAR(Zuw_Ausgaben[[#This Row],[E]])-YEAR($H$7),"")</f>
        <v/>
      </c>
      <c r="J24" s="349">
        <f>IF(Zuw_Ausgaben[[#This Row],[I]]&lt;&gt;"",ROUND(Zuw_Ausgaben[[#This Row],[H]]+Zuw_Ausgaben[[#This Row],[H]]*Zuw_Ausgaben[[#This Row],[I]]*$J$7,-3),Zuw_Ausgaben[[#This Row],[H]])</f>
        <v>0</v>
      </c>
      <c r="K24" s="350">
        <f>Zuw_Ausgaben[[#This Row],[J]]-Zuw_Ausgaben[[#This Row],[Z]]</f>
        <v>0</v>
      </c>
      <c r="L24" s="292"/>
      <c r="M24" s="172"/>
      <c r="N24" s="172"/>
      <c r="O24" s="172"/>
      <c r="P24" s="172"/>
      <c r="Q24" s="172"/>
      <c r="R24" s="172"/>
      <c r="S24" s="172"/>
      <c r="T24" s="172"/>
      <c r="U24" s="172"/>
      <c r="V24" s="172"/>
      <c r="W24" s="172"/>
      <c r="X24" s="172"/>
      <c r="Y24" s="172"/>
      <c r="Z24" s="66">
        <f>SUM(Zuw_Ausgaben[[#This Row],[L]:[Y]])</f>
        <v>0</v>
      </c>
      <c r="AA24" s="343" t="str">
        <f>IF(Zuw_Ausgaben[[#This Row],[Z]]-Zuw_Ausgaben[[#This Row],[H]]&lt;&gt;0,Zuw_Ausgaben[[#This Row],[Z]]-Zuw_Ausgaben[[#This Row],[H]],"")</f>
        <v/>
      </c>
      <c r="AB24" s="344" t="str">
        <f>IF(Zuw_Ausgaben[[#This Row],[AA]]&lt;&gt;"",IFERROR(Zuw_Ausgaben[[#This Row],[AA]]/Zuw_Ausgaben[[#This Row],[H]],""),"")</f>
        <v/>
      </c>
      <c r="AC24" s="344" t="str">
        <f>IFERROR(IF(Zuw_Ausgaben[[#This Row],[AB]]&lt;&gt;"",Zuw_Ausgaben[[#This Row],[AB]]/Zuw_Ausgaben[[#This Row],[I]],""),Zuw_Ausgaben[[#This Row],[AB]])</f>
        <v/>
      </c>
    </row>
    <row r="25" spans="1:29" s="2" customFormat="1">
      <c r="A25" s="341">
        <v>17</v>
      </c>
      <c r="B25" s="170"/>
      <c r="C25" s="296"/>
      <c r="D25" s="297"/>
      <c r="E25" s="171"/>
      <c r="F25" s="171"/>
      <c r="G25" s="298"/>
      <c r="H25" s="290"/>
      <c r="I25" s="339" t="str">
        <f>IF(YEAR(Zuw_Ausgaben[[#This Row],[E]])&gt;YEAR($H$7),YEAR(Zuw_Ausgaben[[#This Row],[E]])-YEAR($H$7),"")</f>
        <v/>
      </c>
      <c r="J25" s="349">
        <f>IF(Zuw_Ausgaben[[#This Row],[I]]&lt;&gt;"",ROUND(Zuw_Ausgaben[[#This Row],[H]]+Zuw_Ausgaben[[#This Row],[H]]*Zuw_Ausgaben[[#This Row],[I]]*$J$7,-3),Zuw_Ausgaben[[#This Row],[H]])</f>
        <v>0</v>
      </c>
      <c r="K25" s="350">
        <f>Zuw_Ausgaben[[#This Row],[J]]-Zuw_Ausgaben[[#This Row],[Z]]</f>
        <v>0</v>
      </c>
      <c r="L25" s="292"/>
      <c r="M25" s="172"/>
      <c r="N25" s="172"/>
      <c r="O25" s="172"/>
      <c r="P25" s="172"/>
      <c r="Q25" s="172"/>
      <c r="R25" s="172"/>
      <c r="S25" s="172"/>
      <c r="T25" s="172"/>
      <c r="U25" s="172"/>
      <c r="V25" s="172"/>
      <c r="W25" s="172"/>
      <c r="X25" s="172"/>
      <c r="Y25" s="172"/>
      <c r="Z25" s="66">
        <f>SUM(Zuw_Ausgaben[[#This Row],[L]:[Y]])</f>
        <v>0</v>
      </c>
      <c r="AA25" s="343" t="str">
        <f>IF(Zuw_Ausgaben[[#This Row],[Z]]-Zuw_Ausgaben[[#This Row],[H]]&lt;&gt;0,Zuw_Ausgaben[[#This Row],[Z]]-Zuw_Ausgaben[[#This Row],[H]],"")</f>
        <v/>
      </c>
      <c r="AB25" s="344" t="str">
        <f>IF(Zuw_Ausgaben[[#This Row],[AA]]&lt;&gt;"",IFERROR(Zuw_Ausgaben[[#This Row],[AA]]/Zuw_Ausgaben[[#This Row],[H]],""),"")</f>
        <v/>
      </c>
      <c r="AC25" s="344" t="str">
        <f>IFERROR(IF(Zuw_Ausgaben[[#This Row],[AB]]&lt;&gt;"",Zuw_Ausgaben[[#This Row],[AB]]/Zuw_Ausgaben[[#This Row],[I]],""),Zuw_Ausgaben[[#This Row],[AB]])</f>
        <v/>
      </c>
    </row>
    <row r="26" spans="1:29" s="2" customFormat="1">
      <c r="A26" s="341">
        <v>18</v>
      </c>
      <c r="B26" s="170"/>
      <c r="C26" s="296"/>
      <c r="D26" s="297"/>
      <c r="E26" s="171"/>
      <c r="F26" s="171"/>
      <c r="G26" s="298"/>
      <c r="H26" s="290"/>
      <c r="I26" s="339" t="str">
        <f>IF(YEAR(Zuw_Ausgaben[[#This Row],[E]])&gt;YEAR($H$7),YEAR(Zuw_Ausgaben[[#This Row],[E]])-YEAR($H$7),"")</f>
        <v/>
      </c>
      <c r="J26" s="349">
        <f>IF(Zuw_Ausgaben[[#This Row],[I]]&lt;&gt;"",ROUND(Zuw_Ausgaben[[#This Row],[H]]+Zuw_Ausgaben[[#This Row],[H]]*Zuw_Ausgaben[[#This Row],[I]]*$J$7,-3),Zuw_Ausgaben[[#This Row],[H]])</f>
        <v>0</v>
      </c>
      <c r="K26" s="350">
        <f>Zuw_Ausgaben[[#This Row],[J]]-Zuw_Ausgaben[[#This Row],[Z]]</f>
        <v>0</v>
      </c>
      <c r="L26" s="292"/>
      <c r="M26" s="172"/>
      <c r="N26" s="172"/>
      <c r="O26" s="172"/>
      <c r="P26" s="172"/>
      <c r="Q26" s="172"/>
      <c r="R26" s="172"/>
      <c r="S26" s="172"/>
      <c r="T26" s="172"/>
      <c r="U26" s="172"/>
      <c r="V26" s="172"/>
      <c r="W26" s="172"/>
      <c r="X26" s="172"/>
      <c r="Y26" s="172"/>
      <c r="Z26" s="66">
        <f>SUM(Zuw_Ausgaben[[#This Row],[L]:[Y]])</f>
        <v>0</v>
      </c>
      <c r="AA26" s="343" t="str">
        <f>IF(Zuw_Ausgaben[[#This Row],[Z]]-Zuw_Ausgaben[[#This Row],[H]]&lt;&gt;0,Zuw_Ausgaben[[#This Row],[Z]]-Zuw_Ausgaben[[#This Row],[H]],"")</f>
        <v/>
      </c>
      <c r="AB26" s="344" t="str">
        <f>IF(Zuw_Ausgaben[[#This Row],[AA]]&lt;&gt;"",IFERROR(Zuw_Ausgaben[[#This Row],[AA]]/Zuw_Ausgaben[[#This Row],[H]],""),"")</f>
        <v/>
      </c>
      <c r="AC26" s="344" t="str">
        <f>IFERROR(IF(Zuw_Ausgaben[[#This Row],[AB]]&lt;&gt;"",Zuw_Ausgaben[[#This Row],[AB]]/Zuw_Ausgaben[[#This Row],[I]],""),Zuw_Ausgaben[[#This Row],[AB]])</f>
        <v/>
      </c>
    </row>
    <row r="27" spans="1:29" s="2" customFormat="1">
      <c r="A27" s="341">
        <v>19</v>
      </c>
      <c r="B27" s="170"/>
      <c r="C27" s="296"/>
      <c r="D27" s="297"/>
      <c r="E27" s="171"/>
      <c r="F27" s="171"/>
      <c r="G27" s="298"/>
      <c r="H27" s="290"/>
      <c r="I27" s="339" t="str">
        <f>IF(YEAR(Zuw_Ausgaben[[#This Row],[E]])&gt;YEAR($H$7),YEAR(Zuw_Ausgaben[[#This Row],[E]])-YEAR($H$7),"")</f>
        <v/>
      </c>
      <c r="J27" s="349">
        <f>IF(Zuw_Ausgaben[[#This Row],[I]]&lt;&gt;"",ROUND(Zuw_Ausgaben[[#This Row],[H]]+Zuw_Ausgaben[[#This Row],[H]]*Zuw_Ausgaben[[#This Row],[I]]*$J$7,-3),Zuw_Ausgaben[[#This Row],[H]])</f>
        <v>0</v>
      </c>
      <c r="K27" s="350">
        <f>Zuw_Ausgaben[[#This Row],[J]]-Zuw_Ausgaben[[#This Row],[Z]]</f>
        <v>0</v>
      </c>
      <c r="L27" s="292"/>
      <c r="M27" s="172"/>
      <c r="N27" s="172"/>
      <c r="O27" s="172"/>
      <c r="P27" s="172"/>
      <c r="Q27" s="172"/>
      <c r="R27" s="172"/>
      <c r="S27" s="172"/>
      <c r="T27" s="172"/>
      <c r="U27" s="172"/>
      <c r="V27" s="172"/>
      <c r="W27" s="172"/>
      <c r="X27" s="172"/>
      <c r="Y27" s="172"/>
      <c r="Z27" s="66">
        <f>SUM(Zuw_Ausgaben[[#This Row],[L]:[Y]])</f>
        <v>0</v>
      </c>
      <c r="AA27" s="343" t="str">
        <f>IF(Zuw_Ausgaben[[#This Row],[Z]]-Zuw_Ausgaben[[#This Row],[H]]&lt;&gt;0,Zuw_Ausgaben[[#This Row],[Z]]-Zuw_Ausgaben[[#This Row],[H]],"")</f>
        <v/>
      </c>
      <c r="AB27" s="344" t="str">
        <f>IF(Zuw_Ausgaben[[#This Row],[AA]]&lt;&gt;"",IFERROR(Zuw_Ausgaben[[#This Row],[AA]]/Zuw_Ausgaben[[#This Row],[H]],""),"")</f>
        <v/>
      </c>
      <c r="AC27" s="344" t="str">
        <f>IFERROR(IF(Zuw_Ausgaben[[#This Row],[AB]]&lt;&gt;"",Zuw_Ausgaben[[#This Row],[AB]]/Zuw_Ausgaben[[#This Row],[I]],""),Zuw_Ausgaben[[#This Row],[AB]])</f>
        <v/>
      </c>
    </row>
    <row r="28" spans="1:29" s="2" customFormat="1">
      <c r="A28" s="341">
        <v>20</v>
      </c>
      <c r="B28" s="170"/>
      <c r="C28" s="296"/>
      <c r="D28" s="297"/>
      <c r="E28" s="171"/>
      <c r="F28" s="171"/>
      <c r="G28" s="298"/>
      <c r="H28" s="290"/>
      <c r="I28" s="339" t="str">
        <f>IF(YEAR(Zuw_Ausgaben[[#This Row],[E]])&gt;YEAR($H$7),YEAR(Zuw_Ausgaben[[#This Row],[E]])-YEAR($H$7),"")</f>
        <v/>
      </c>
      <c r="J28" s="349">
        <f>IF(Zuw_Ausgaben[[#This Row],[I]]&lt;&gt;"",ROUND(Zuw_Ausgaben[[#This Row],[H]]+Zuw_Ausgaben[[#This Row],[H]]*Zuw_Ausgaben[[#This Row],[I]]*$J$7,-3),Zuw_Ausgaben[[#This Row],[H]])</f>
        <v>0</v>
      </c>
      <c r="K28" s="350">
        <f>Zuw_Ausgaben[[#This Row],[J]]-Zuw_Ausgaben[[#This Row],[Z]]</f>
        <v>0</v>
      </c>
      <c r="L28" s="292"/>
      <c r="M28" s="172"/>
      <c r="N28" s="172"/>
      <c r="O28" s="172"/>
      <c r="P28" s="172"/>
      <c r="Q28" s="172"/>
      <c r="R28" s="172"/>
      <c r="S28" s="172"/>
      <c r="T28" s="172"/>
      <c r="U28" s="172"/>
      <c r="V28" s="172"/>
      <c r="W28" s="172"/>
      <c r="X28" s="172"/>
      <c r="Y28" s="172"/>
      <c r="Z28" s="66">
        <f>SUM(Zuw_Ausgaben[[#This Row],[L]:[Y]])</f>
        <v>0</v>
      </c>
      <c r="AA28" s="343" t="str">
        <f>IF(Zuw_Ausgaben[[#This Row],[Z]]-Zuw_Ausgaben[[#This Row],[H]]&lt;&gt;0,Zuw_Ausgaben[[#This Row],[Z]]-Zuw_Ausgaben[[#This Row],[H]],"")</f>
        <v/>
      </c>
      <c r="AB28" s="344" t="str">
        <f>IF(Zuw_Ausgaben[[#This Row],[AA]]&lt;&gt;"",IFERROR(Zuw_Ausgaben[[#This Row],[AA]]/Zuw_Ausgaben[[#This Row],[H]],""),"")</f>
        <v/>
      </c>
      <c r="AC28" s="344" t="str">
        <f>IFERROR(IF(Zuw_Ausgaben[[#This Row],[AB]]&lt;&gt;"",Zuw_Ausgaben[[#This Row],[AB]]/Zuw_Ausgaben[[#This Row],[I]],""),Zuw_Ausgaben[[#This Row],[AB]])</f>
        <v/>
      </c>
    </row>
    <row r="29" spans="1:29" s="2" customFormat="1">
      <c r="A29" s="341">
        <v>21</v>
      </c>
      <c r="B29" s="170"/>
      <c r="C29" s="296"/>
      <c r="D29" s="297"/>
      <c r="E29" s="171"/>
      <c r="F29" s="171"/>
      <c r="G29" s="298"/>
      <c r="H29" s="290"/>
      <c r="I29" s="339" t="str">
        <f>IF(YEAR(Zuw_Ausgaben[[#This Row],[E]])&gt;YEAR($H$7),YEAR(Zuw_Ausgaben[[#This Row],[E]])-YEAR($H$7),"")</f>
        <v/>
      </c>
      <c r="J29" s="349">
        <f>IF(Zuw_Ausgaben[[#This Row],[I]]&lt;&gt;"",ROUND(Zuw_Ausgaben[[#This Row],[H]]+Zuw_Ausgaben[[#This Row],[H]]*Zuw_Ausgaben[[#This Row],[I]]*$J$7,-3),Zuw_Ausgaben[[#This Row],[H]])</f>
        <v>0</v>
      </c>
      <c r="K29" s="350">
        <f>Zuw_Ausgaben[[#This Row],[J]]-Zuw_Ausgaben[[#This Row],[Z]]</f>
        <v>0</v>
      </c>
      <c r="L29" s="292"/>
      <c r="M29" s="172"/>
      <c r="N29" s="172"/>
      <c r="O29" s="172"/>
      <c r="P29" s="172"/>
      <c r="Q29" s="172"/>
      <c r="R29" s="172"/>
      <c r="S29" s="172"/>
      <c r="T29" s="172"/>
      <c r="U29" s="172"/>
      <c r="V29" s="172"/>
      <c r="W29" s="172"/>
      <c r="X29" s="172"/>
      <c r="Y29" s="172"/>
      <c r="Z29" s="66">
        <f>SUM(Zuw_Ausgaben[[#This Row],[L]:[Y]])</f>
        <v>0</v>
      </c>
      <c r="AA29" s="343" t="str">
        <f>IF(Zuw_Ausgaben[[#This Row],[Z]]-Zuw_Ausgaben[[#This Row],[H]]&lt;&gt;0,Zuw_Ausgaben[[#This Row],[Z]]-Zuw_Ausgaben[[#This Row],[H]],"")</f>
        <v/>
      </c>
      <c r="AB29" s="344" t="str">
        <f>IF(Zuw_Ausgaben[[#This Row],[AA]]&lt;&gt;"",IFERROR(Zuw_Ausgaben[[#This Row],[AA]]/Zuw_Ausgaben[[#This Row],[H]],""),"")</f>
        <v/>
      </c>
      <c r="AC29" s="344" t="str">
        <f>IFERROR(IF(Zuw_Ausgaben[[#This Row],[AB]]&lt;&gt;"",Zuw_Ausgaben[[#This Row],[AB]]/Zuw_Ausgaben[[#This Row],[I]],""),Zuw_Ausgaben[[#This Row],[AB]])</f>
        <v/>
      </c>
    </row>
    <row r="30" spans="1:29" s="2" customFormat="1">
      <c r="A30" s="341">
        <v>22</v>
      </c>
      <c r="B30" s="170"/>
      <c r="C30" s="296"/>
      <c r="D30" s="297"/>
      <c r="E30" s="171"/>
      <c r="F30" s="171"/>
      <c r="G30" s="298"/>
      <c r="H30" s="290"/>
      <c r="I30" s="339" t="str">
        <f>IF(YEAR(Zuw_Ausgaben[[#This Row],[E]])&gt;YEAR($H$7),YEAR(Zuw_Ausgaben[[#This Row],[E]])-YEAR($H$7),"")</f>
        <v/>
      </c>
      <c r="J30" s="349">
        <f>IF(Zuw_Ausgaben[[#This Row],[I]]&lt;&gt;"",ROUND(Zuw_Ausgaben[[#This Row],[H]]+Zuw_Ausgaben[[#This Row],[H]]*Zuw_Ausgaben[[#This Row],[I]]*$J$7,-3),Zuw_Ausgaben[[#This Row],[H]])</f>
        <v>0</v>
      </c>
      <c r="K30" s="350">
        <f>Zuw_Ausgaben[[#This Row],[J]]-Zuw_Ausgaben[[#This Row],[Z]]</f>
        <v>0</v>
      </c>
      <c r="L30" s="292"/>
      <c r="M30" s="172"/>
      <c r="N30" s="172"/>
      <c r="O30" s="172"/>
      <c r="P30" s="172"/>
      <c r="Q30" s="172"/>
      <c r="R30" s="172"/>
      <c r="S30" s="172"/>
      <c r="T30" s="172"/>
      <c r="U30" s="172"/>
      <c r="V30" s="172"/>
      <c r="W30" s="172"/>
      <c r="X30" s="172"/>
      <c r="Y30" s="172"/>
      <c r="Z30" s="66">
        <f>SUM(Zuw_Ausgaben[[#This Row],[L]:[Y]])</f>
        <v>0</v>
      </c>
      <c r="AA30" s="343" t="str">
        <f>IF(Zuw_Ausgaben[[#This Row],[Z]]-Zuw_Ausgaben[[#This Row],[H]]&lt;&gt;0,Zuw_Ausgaben[[#This Row],[Z]]-Zuw_Ausgaben[[#This Row],[H]],"")</f>
        <v/>
      </c>
      <c r="AB30" s="344" t="str">
        <f>IF(Zuw_Ausgaben[[#This Row],[AA]]&lt;&gt;"",IFERROR(Zuw_Ausgaben[[#This Row],[AA]]/Zuw_Ausgaben[[#This Row],[H]],""),"")</f>
        <v/>
      </c>
      <c r="AC30" s="344" t="str">
        <f>IFERROR(IF(Zuw_Ausgaben[[#This Row],[AB]]&lt;&gt;"",Zuw_Ausgaben[[#This Row],[AB]]/Zuw_Ausgaben[[#This Row],[I]],""),Zuw_Ausgaben[[#This Row],[AB]])</f>
        <v/>
      </c>
    </row>
    <row r="31" spans="1:29" s="2" customFormat="1">
      <c r="A31" s="341">
        <v>23</v>
      </c>
      <c r="B31" s="170"/>
      <c r="C31" s="296"/>
      <c r="D31" s="297"/>
      <c r="E31" s="171"/>
      <c r="F31" s="171"/>
      <c r="G31" s="298"/>
      <c r="H31" s="290"/>
      <c r="I31" s="339" t="str">
        <f>IF(YEAR(Zuw_Ausgaben[[#This Row],[E]])&gt;YEAR($H$7),YEAR(Zuw_Ausgaben[[#This Row],[E]])-YEAR($H$7),"")</f>
        <v/>
      </c>
      <c r="J31" s="349">
        <f>IF(Zuw_Ausgaben[[#This Row],[I]]&lt;&gt;"",ROUND(Zuw_Ausgaben[[#This Row],[H]]+Zuw_Ausgaben[[#This Row],[H]]*Zuw_Ausgaben[[#This Row],[I]]*$J$7,-3),Zuw_Ausgaben[[#This Row],[H]])</f>
        <v>0</v>
      </c>
      <c r="K31" s="350">
        <f>Zuw_Ausgaben[[#This Row],[J]]-Zuw_Ausgaben[[#This Row],[Z]]</f>
        <v>0</v>
      </c>
      <c r="L31" s="292"/>
      <c r="M31" s="172"/>
      <c r="N31" s="172"/>
      <c r="O31" s="172"/>
      <c r="P31" s="172"/>
      <c r="Q31" s="172"/>
      <c r="R31" s="172"/>
      <c r="S31" s="172"/>
      <c r="T31" s="172"/>
      <c r="U31" s="172"/>
      <c r="V31" s="172"/>
      <c r="W31" s="172"/>
      <c r="X31" s="172"/>
      <c r="Y31" s="172"/>
      <c r="Z31" s="66">
        <f>SUM(Zuw_Ausgaben[[#This Row],[L]:[Y]])</f>
        <v>0</v>
      </c>
      <c r="AA31" s="343" t="str">
        <f>IF(Zuw_Ausgaben[[#This Row],[Z]]-Zuw_Ausgaben[[#This Row],[H]]&lt;&gt;0,Zuw_Ausgaben[[#This Row],[Z]]-Zuw_Ausgaben[[#This Row],[H]],"")</f>
        <v/>
      </c>
      <c r="AB31" s="344" t="str">
        <f>IF(Zuw_Ausgaben[[#This Row],[AA]]&lt;&gt;"",IFERROR(Zuw_Ausgaben[[#This Row],[AA]]/Zuw_Ausgaben[[#This Row],[H]],""),"")</f>
        <v/>
      </c>
      <c r="AC31" s="344" t="str">
        <f>IFERROR(IF(Zuw_Ausgaben[[#This Row],[AB]]&lt;&gt;"",Zuw_Ausgaben[[#This Row],[AB]]/Zuw_Ausgaben[[#This Row],[I]],""),Zuw_Ausgaben[[#This Row],[AB]])</f>
        <v/>
      </c>
    </row>
    <row r="32" spans="1:29" s="2" customFormat="1">
      <c r="A32" s="341">
        <v>24</v>
      </c>
      <c r="B32" s="170"/>
      <c r="C32" s="296"/>
      <c r="D32" s="297"/>
      <c r="E32" s="171"/>
      <c r="F32" s="171"/>
      <c r="G32" s="298"/>
      <c r="H32" s="290"/>
      <c r="I32" s="339" t="str">
        <f>IF(YEAR(Zuw_Ausgaben[[#This Row],[E]])&gt;YEAR($H$7),YEAR(Zuw_Ausgaben[[#This Row],[E]])-YEAR($H$7),"")</f>
        <v/>
      </c>
      <c r="J32" s="349">
        <f>IF(Zuw_Ausgaben[[#This Row],[I]]&lt;&gt;"",ROUND(Zuw_Ausgaben[[#This Row],[H]]+Zuw_Ausgaben[[#This Row],[H]]*Zuw_Ausgaben[[#This Row],[I]]*$J$7,-3),Zuw_Ausgaben[[#This Row],[H]])</f>
        <v>0</v>
      </c>
      <c r="K32" s="350">
        <f>Zuw_Ausgaben[[#This Row],[J]]-Zuw_Ausgaben[[#This Row],[Z]]</f>
        <v>0</v>
      </c>
      <c r="L32" s="292"/>
      <c r="M32" s="172"/>
      <c r="N32" s="172"/>
      <c r="O32" s="172"/>
      <c r="P32" s="172"/>
      <c r="Q32" s="172"/>
      <c r="R32" s="172"/>
      <c r="S32" s="172"/>
      <c r="T32" s="172"/>
      <c r="U32" s="172"/>
      <c r="V32" s="172"/>
      <c r="W32" s="172"/>
      <c r="X32" s="172"/>
      <c r="Y32" s="172"/>
      <c r="Z32" s="66">
        <f>SUM(Zuw_Ausgaben[[#This Row],[L]:[Y]])</f>
        <v>0</v>
      </c>
      <c r="AA32" s="343" t="str">
        <f>IF(Zuw_Ausgaben[[#This Row],[Z]]-Zuw_Ausgaben[[#This Row],[H]]&lt;&gt;0,Zuw_Ausgaben[[#This Row],[Z]]-Zuw_Ausgaben[[#This Row],[H]],"")</f>
        <v/>
      </c>
      <c r="AB32" s="344" t="str">
        <f>IF(Zuw_Ausgaben[[#This Row],[AA]]&lt;&gt;"",IFERROR(Zuw_Ausgaben[[#This Row],[AA]]/Zuw_Ausgaben[[#This Row],[H]],""),"")</f>
        <v/>
      </c>
      <c r="AC32" s="344" t="str">
        <f>IFERROR(IF(Zuw_Ausgaben[[#This Row],[AB]]&lt;&gt;"",Zuw_Ausgaben[[#This Row],[AB]]/Zuw_Ausgaben[[#This Row],[I]],""),Zuw_Ausgaben[[#This Row],[AB]])</f>
        <v/>
      </c>
    </row>
    <row r="33" spans="1:29" s="2" customFormat="1">
      <c r="A33" s="341">
        <v>25</v>
      </c>
      <c r="B33" s="170"/>
      <c r="C33" s="296"/>
      <c r="D33" s="297"/>
      <c r="E33" s="171"/>
      <c r="F33" s="171"/>
      <c r="G33" s="298"/>
      <c r="H33" s="290"/>
      <c r="I33" s="339" t="str">
        <f>IF(YEAR(Zuw_Ausgaben[[#This Row],[E]])&gt;YEAR($H$7),YEAR(Zuw_Ausgaben[[#This Row],[E]])-YEAR($H$7),"")</f>
        <v/>
      </c>
      <c r="J33" s="349">
        <f>IF(Zuw_Ausgaben[[#This Row],[I]]&lt;&gt;"",ROUND(Zuw_Ausgaben[[#This Row],[H]]+Zuw_Ausgaben[[#This Row],[H]]*Zuw_Ausgaben[[#This Row],[I]]*$J$7,-3),Zuw_Ausgaben[[#This Row],[H]])</f>
        <v>0</v>
      </c>
      <c r="K33" s="350">
        <f>Zuw_Ausgaben[[#This Row],[J]]-Zuw_Ausgaben[[#This Row],[Z]]</f>
        <v>0</v>
      </c>
      <c r="L33" s="292"/>
      <c r="M33" s="172"/>
      <c r="N33" s="172"/>
      <c r="O33" s="172"/>
      <c r="P33" s="172"/>
      <c r="Q33" s="172"/>
      <c r="R33" s="172"/>
      <c r="S33" s="172"/>
      <c r="T33" s="172"/>
      <c r="U33" s="172"/>
      <c r="V33" s="172"/>
      <c r="W33" s="172"/>
      <c r="X33" s="172"/>
      <c r="Y33" s="172"/>
      <c r="Z33" s="66">
        <f>SUM(Zuw_Ausgaben[[#This Row],[L]:[Y]])</f>
        <v>0</v>
      </c>
      <c r="AA33" s="343" t="str">
        <f>IF(Zuw_Ausgaben[[#This Row],[Z]]-Zuw_Ausgaben[[#This Row],[H]]&lt;&gt;0,Zuw_Ausgaben[[#This Row],[Z]]-Zuw_Ausgaben[[#This Row],[H]],"")</f>
        <v/>
      </c>
      <c r="AB33" s="344" t="str">
        <f>IF(Zuw_Ausgaben[[#This Row],[AA]]&lt;&gt;"",IFERROR(Zuw_Ausgaben[[#This Row],[AA]]/Zuw_Ausgaben[[#This Row],[H]],""),"")</f>
        <v/>
      </c>
      <c r="AC33" s="344" t="str">
        <f>IFERROR(IF(Zuw_Ausgaben[[#This Row],[AB]]&lt;&gt;"",Zuw_Ausgaben[[#This Row],[AB]]/Zuw_Ausgaben[[#This Row],[I]],""),Zuw_Ausgaben[[#This Row],[AB]])</f>
        <v/>
      </c>
    </row>
    <row r="34" spans="1:29" s="2" customFormat="1">
      <c r="A34" s="341">
        <v>26</v>
      </c>
      <c r="B34" s="170"/>
      <c r="C34" s="296"/>
      <c r="D34" s="297"/>
      <c r="E34" s="171"/>
      <c r="F34" s="171"/>
      <c r="G34" s="298"/>
      <c r="H34" s="290"/>
      <c r="I34" s="339" t="str">
        <f>IF(YEAR(Zuw_Ausgaben[[#This Row],[E]])&gt;YEAR($H$7),YEAR(Zuw_Ausgaben[[#This Row],[E]])-YEAR($H$7),"")</f>
        <v/>
      </c>
      <c r="J34" s="349">
        <f>IF(Zuw_Ausgaben[[#This Row],[I]]&lt;&gt;"",ROUND(Zuw_Ausgaben[[#This Row],[H]]+Zuw_Ausgaben[[#This Row],[H]]*Zuw_Ausgaben[[#This Row],[I]]*$J$7,-3),Zuw_Ausgaben[[#This Row],[H]])</f>
        <v>0</v>
      </c>
      <c r="K34" s="350">
        <f>Zuw_Ausgaben[[#This Row],[J]]-Zuw_Ausgaben[[#This Row],[Z]]</f>
        <v>0</v>
      </c>
      <c r="L34" s="292"/>
      <c r="M34" s="172"/>
      <c r="N34" s="172"/>
      <c r="O34" s="172"/>
      <c r="P34" s="172"/>
      <c r="Q34" s="172"/>
      <c r="R34" s="172"/>
      <c r="S34" s="172"/>
      <c r="T34" s="172"/>
      <c r="U34" s="172"/>
      <c r="V34" s="172"/>
      <c r="W34" s="172"/>
      <c r="X34" s="172"/>
      <c r="Y34" s="172"/>
      <c r="Z34" s="66">
        <f>SUM(Zuw_Ausgaben[[#This Row],[L]:[Y]])</f>
        <v>0</v>
      </c>
      <c r="AA34" s="343" t="str">
        <f>IF(Zuw_Ausgaben[[#This Row],[Z]]-Zuw_Ausgaben[[#This Row],[H]]&lt;&gt;0,Zuw_Ausgaben[[#This Row],[Z]]-Zuw_Ausgaben[[#This Row],[H]],"")</f>
        <v/>
      </c>
      <c r="AB34" s="344" t="str">
        <f>IF(Zuw_Ausgaben[[#This Row],[AA]]&lt;&gt;"",IFERROR(Zuw_Ausgaben[[#This Row],[AA]]/Zuw_Ausgaben[[#This Row],[H]],""),"")</f>
        <v/>
      </c>
      <c r="AC34" s="344" t="str">
        <f>IFERROR(IF(Zuw_Ausgaben[[#This Row],[AB]]&lt;&gt;"",Zuw_Ausgaben[[#This Row],[AB]]/Zuw_Ausgaben[[#This Row],[I]],""),Zuw_Ausgaben[[#This Row],[AB]])</f>
        <v/>
      </c>
    </row>
    <row r="35" spans="1:29" s="2" customFormat="1">
      <c r="A35" s="341">
        <v>27</v>
      </c>
      <c r="B35" s="170"/>
      <c r="C35" s="296"/>
      <c r="D35" s="297"/>
      <c r="E35" s="171"/>
      <c r="F35" s="171"/>
      <c r="G35" s="298"/>
      <c r="H35" s="290"/>
      <c r="I35" s="339" t="str">
        <f>IF(YEAR(Zuw_Ausgaben[[#This Row],[E]])&gt;YEAR($H$7),YEAR(Zuw_Ausgaben[[#This Row],[E]])-YEAR($H$7),"")</f>
        <v/>
      </c>
      <c r="J35" s="349">
        <f>IF(Zuw_Ausgaben[[#This Row],[I]]&lt;&gt;"",ROUND(Zuw_Ausgaben[[#This Row],[H]]+Zuw_Ausgaben[[#This Row],[H]]*Zuw_Ausgaben[[#This Row],[I]]*$J$7,-3),Zuw_Ausgaben[[#This Row],[H]])</f>
        <v>0</v>
      </c>
      <c r="K35" s="350">
        <f>Zuw_Ausgaben[[#This Row],[J]]-Zuw_Ausgaben[[#This Row],[Z]]</f>
        <v>0</v>
      </c>
      <c r="L35" s="292"/>
      <c r="M35" s="172"/>
      <c r="N35" s="172"/>
      <c r="O35" s="172"/>
      <c r="P35" s="172"/>
      <c r="Q35" s="172"/>
      <c r="R35" s="172"/>
      <c r="S35" s="172"/>
      <c r="T35" s="172"/>
      <c r="U35" s="172"/>
      <c r="V35" s="172"/>
      <c r="W35" s="172"/>
      <c r="X35" s="172"/>
      <c r="Y35" s="172"/>
      <c r="Z35" s="66">
        <f>SUM(Zuw_Ausgaben[[#This Row],[L]:[Y]])</f>
        <v>0</v>
      </c>
      <c r="AA35" s="343" t="str">
        <f>IF(Zuw_Ausgaben[[#This Row],[Z]]-Zuw_Ausgaben[[#This Row],[H]]&lt;&gt;0,Zuw_Ausgaben[[#This Row],[Z]]-Zuw_Ausgaben[[#This Row],[H]],"")</f>
        <v/>
      </c>
      <c r="AB35" s="344" t="str">
        <f>IF(Zuw_Ausgaben[[#This Row],[AA]]&lt;&gt;"",IFERROR(Zuw_Ausgaben[[#This Row],[AA]]/Zuw_Ausgaben[[#This Row],[H]],""),"")</f>
        <v/>
      </c>
      <c r="AC35" s="344" t="str">
        <f>IFERROR(IF(Zuw_Ausgaben[[#This Row],[AB]]&lt;&gt;"",Zuw_Ausgaben[[#This Row],[AB]]/Zuw_Ausgaben[[#This Row],[I]],""),Zuw_Ausgaben[[#This Row],[AB]])</f>
        <v/>
      </c>
    </row>
    <row r="36" spans="1:29" s="2" customFormat="1">
      <c r="A36" s="341">
        <v>28</v>
      </c>
      <c r="B36" s="170"/>
      <c r="C36" s="296"/>
      <c r="D36" s="297"/>
      <c r="E36" s="171"/>
      <c r="F36" s="171"/>
      <c r="G36" s="298"/>
      <c r="H36" s="290"/>
      <c r="I36" s="339" t="str">
        <f>IF(YEAR(Zuw_Ausgaben[[#This Row],[E]])&gt;YEAR($H$7),YEAR(Zuw_Ausgaben[[#This Row],[E]])-YEAR($H$7),"")</f>
        <v/>
      </c>
      <c r="J36" s="349">
        <f>IF(Zuw_Ausgaben[[#This Row],[I]]&lt;&gt;"",ROUND(Zuw_Ausgaben[[#This Row],[H]]+Zuw_Ausgaben[[#This Row],[H]]*Zuw_Ausgaben[[#This Row],[I]]*$J$7,-3),Zuw_Ausgaben[[#This Row],[H]])</f>
        <v>0</v>
      </c>
      <c r="K36" s="350">
        <f>Zuw_Ausgaben[[#This Row],[J]]-Zuw_Ausgaben[[#This Row],[Z]]</f>
        <v>0</v>
      </c>
      <c r="L36" s="292"/>
      <c r="M36" s="172"/>
      <c r="N36" s="172"/>
      <c r="O36" s="172"/>
      <c r="P36" s="172"/>
      <c r="Q36" s="172"/>
      <c r="R36" s="172"/>
      <c r="S36" s="172"/>
      <c r="T36" s="172"/>
      <c r="U36" s="172"/>
      <c r="V36" s="172"/>
      <c r="W36" s="172"/>
      <c r="X36" s="172"/>
      <c r="Y36" s="172"/>
      <c r="Z36" s="66">
        <f>SUM(Zuw_Ausgaben[[#This Row],[L]:[Y]])</f>
        <v>0</v>
      </c>
      <c r="AA36" s="343" t="str">
        <f>IF(Zuw_Ausgaben[[#This Row],[Z]]-Zuw_Ausgaben[[#This Row],[H]]&lt;&gt;0,Zuw_Ausgaben[[#This Row],[Z]]-Zuw_Ausgaben[[#This Row],[H]],"")</f>
        <v/>
      </c>
      <c r="AB36" s="344" t="str">
        <f>IF(Zuw_Ausgaben[[#This Row],[AA]]&lt;&gt;"",IFERROR(Zuw_Ausgaben[[#This Row],[AA]]/Zuw_Ausgaben[[#This Row],[H]],""),"")</f>
        <v/>
      </c>
      <c r="AC36" s="344" t="str">
        <f>IFERROR(IF(Zuw_Ausgaben[[#This Row],[AB]]&lt;&gt;"",Zuw_Ausgaben[[#This Row],[AB]]/Zuw_Ausgaben[[#This Row],[I]],""),Zuw_Ausgaben[[#This Row],[AB]])</f>
        <v/>
      </c>
    </row>
    <row r="37" spans="1:29" s="2" customFormat="1">
      <c r="A37" s="341">
        <v>29</v>
      </c>
      <c r="B37" s="170"/>
      <c r="C37" s="296"/>
      <c r="D37" s="297"/>
      <c r="E37" s="171"/>
      <c r="F37" s="171"/>
      <c r="G37" s="298"/>
      <c r="H37" s="290"/>
      <c r="I37" s="339" t="str">
        <f>IF(YEAR(Zuw_Ausgaben[[#This Row],[E]])&gt;YEAR($H$7),YEAR(Zuw_Ausgaben[[#This Row],[E]])-YEAR($H$7),"")</f>
        <v/>
      </c>
      <c r="J37" s="349">
        <f>IF(Zuw_Ausgaben[[#This Row],[I]]&lt;&gt;"",ROUND(Zuw_Ausgaben[[#This Row],[H]]+Zuw_Ausgaben[[#This Row],[H]]*Zuw_Ausgaben[[#This Row],[I]]*$J$7,-3),Zuw_Ausgaben[[#This Row],[H]])</f>
        <v>0</v>
      </c>
      <c r="K37" s="350">
        <f>Zuw_Ausgaben[[#This Row],[J]]-Zuw_Ausgaben[[#This Row],[Z]]</f>
        <v>0</v>
      </c>
      <c r="L37" s="292"/>
      <c r="M37" s="172"/>
      <c r="N37" s="172"/>
      <c r="O37" s="172"/>
      <c r="P37" s="172"/>
      <c r="Q37" s="172"/>
      <c r="R37" s="172"/>
      <c r="S37" s="172"/>
      <c r="T37" s="172"/>
      <c r="U37" s="172"/>
      <c r="V37" s="172"/>
      <c r="W37" s="172"/>
      <c r="X37" s="172"/>
      <c r="Y37" s="172"/>
      <c r="Z37" s="66">
        <f>SUM(Zuw_Ausgaben[[#This Row],[L]:[Y]])</f>
        <v>0</v>
      </c>
      <c r="AA37" s="343" t="str">
        <f>IF(Zuw_Ausgaben[[#This Row],[Z]]-Zuw_Ausgaben[[#This Row],[H]]&lt;&gt;0,Zuw_Ausgaben[[#This Row],[Z]]-Zuw_Ausgaben[[#This Row],[H]],"")</f>
        <v/>
      </c>
      <c r="AB37" s="344" t="str">
        <f>IF(Zuw_Ausgaben[[#This Row],[AA]]&lt;&gt;"",IFERROR(Zuw_Ausgaben[[#This Row],[AA]]/Zuw_Ausgaben[[#This Row],[H]],""),"")</f>
        <v/>
      </c>
      <c r="AC37" s="344" t="str">
        <f>IFERROR(IF(Zuw_Ausgaben[[#This Row],[AB]]&lt;&gt;"",Zuw_Ausgaben[[#This Row],[AB]]/Zuw_Ausgaben[[#This Row],[I]],""),Zuw_Ausgaben[[#This Row],[AB]])</f>
        <v/>
      </c>
    </row>
    <row r="38" spans="1:29" s="2" customFormat="1">
      <c r="A38" s="341">
        <v>30</v>
      </c>
      <c r="B38" s="170"/>
      <c r="C38" s="296"/>
      <c r="D38" s="297"/>
      <c r="E38" s="171"/>
      <c r="F38" s="171"/>
      <c r="G38" s="298"/>
      <c r="H38" s="290"/>
      <c r="I38" s="339" t="str">
        <f>IF(YEAR(Zuw_Ausgaben[[#This Row],[E]])&gt;YEAR($H$7),YEAR(Zuw_Ausgaben[[#This Row],[E]])-YEAR($H$7),"")</f>
        <v/>
      </c>
      <c r="J38" s="349">
        <f>IF(Zuw_Ausgaben[[#This Row],[I]]&lt;&gt;"",ROUND(Zuw_Ausgaben[[#This Row],[H]]+Zuw_Ausgaben[[#This Row],[H]]*Zuw_Ausgaben[[#This Row],[I]]*$J$7,-3),Zuw_Ausgaben[[#This Row],[H]])</f>
        <v>0</v>
      </c>
      <c r="K38" s="350">
        <f>Zuw_Ausgaben[[#This Row],[J]]-Zuw_Ausgaben[[#This Row],[Z]]</f>
        <v>0</v>
      </c>
      <c r="L38" s="292"/>
      <c r="M38" s="172"/>
      <c r="N38" s="172"/>
      <c r="O38" s="172"/>
      <c r="P38" s="172"/>
      <c r="Q38" s="172"/>
      <c r="R38" s="172"/>
      <c r="S38" s="172"/>
      <c r="T38" s="172"/>
      <c r="U38" s="172"/>
      <c r="V38" s="172"/>
      <c r="W38" s="172"/>
      <c r="X38" s="172"/>
      <c r="Y38" s="172"/>
      <c r="Z38" s="66">
        <f>SUM(Zuw_Ausgaben[[#This Row],[L]:[Y]])</f>
        <v>0</v>
      </c>
      <c r="AA38" s="343" t="str">
        <f>IF(Zuw_Ausgaben[[#This Row],[Z]]-Zuw_Ausgaben[[#This Row],[H]]&lt;&gt;0,Zuw_Ausgaben[[#This Row],[Z]]-Zuw_Ausgaben[[#This Row],[H]],"")</f>
        <v/>
      </c>
      <c r="AB38" s="344" t="str">
        <f>IF(Zuw_Ausgaben[[#This Row],[AA]]&lt;&gt;"",IFERROR(Zuw_Ausgaben[[#This Row],[AA]]/Zuw_Ausgaben[[#This Row],[H]],""),"")</f>
        <v/>
      </c>
      <c r="AC38" s="344" t="str">
        <f>IFERROR(IF(Zuw_Ausgaben[[#This Row],[AB]]&lt;&gt;"",Zuw_Ausgaben[[#This Row],[AB]]/Zuw_Ausgaben[[#This Row],[I]],""),Zuw_Ausgaben[[#This Row],[AB]])</f>
        <v/>
      </c>
    </row>
    <row r="39" spans="1:29" s="2" customFormat="1">
      <c r="A39" s="341">
        <v>31</v>
      </c>
      <c r="B39" s="170"/>
      <c r="C39" s="296"/>
      <c r="D39" s="297"/>
      <c r="E39" s="171"/>
      <c r="F39" s="171"/>
      <c r="G39" s="298"/>
      <c r="H39" s="290"/>
      <c r="I39" s="339" t="str">
        <f>IF(YEAR(Zuw_Ausgaben[[#This Row],[E]])&gt;YEAR($H$7),YEAR(Zuw_Ausgaben[[#This Row],[E]])-YEAR($H$7),"")</f>
        <v/>
      </c>
      <c r="J39" s="349">
        <f>IF(Zuw_Ausgaben[[#This Row],[I]]&lt;&gt;"",ROUND(Zuw_Ausgaben[[#This Row],[H]]+Zuw_Ausgaben[[#This Row],[H]]*Zuw_Ausgaben[[#This Row],[I]]*$J$7,-3),Zuw_Ausgaben[[#This Row],[H]])</f>
        <v>0</v>
      </c>
      <c r="K39" s="350">
        <f>Zuw_Ausgaben[[#This Row],[J]]-Zuw_Ausgaben[[#This Row],[Z]]</f>
        <v>0</v>
      </c>
      <c r="L39" s="292"/>
      <c r="M39" s="172"/>
      <c r="N39" s="172"/>
      <c r="O39" s="172"/>
      <c r="P39" s="172"/>
      <c r="Q39" s="172"/>
      <c r="R39" s="172"/>
      <c r="S39" s="172"/>
      <c r="T39" s="172"/>
      <c r="U39" s="172"/>
      <c r="V39" s="172"/>
      <c r="W39" s="172"/>
      <c r="X39" s="172"/>
      <c r="Y39" s="172"/>
      <c r="Z39" s="66">
        <f>SUM(Zuw_Ausgaben[[#This Row],[L]:[Y]])</f>
        <v>0</v>
      </c>
      <c r="AA39" s="343" t="str">
        <f>IF(Zuw_Ausgaben[[#This Row],[Z]]-Zuw_Ausgaben[[#This Row],[H]]&lt;&gt;0,Zuw_Ausgaben[[#This Row],[Z]]-Zuw_Ausgaben[[#This Row],[H]],"")</f>
        <v/>
      </c>
      <c r="AB39" s="344" t="str">
        <f>IF(Zuw_Ausgaben[[#This Row],[AA]]&lt;&gt;"",IFERROR(Zuw_Ausgaben[[#This Row],[AA]]/Zuw_Ausgaben[[#This Row],[H]],""),"")</f>
        <v/>
      </c>
      <c r="AC39" s="344" t="str">
        <f>IFERROR(IF(Zuw_Ausgaben[[#This Row],[AB]]&lt;&gt;"",Zuw_Ausgaben[[#This Row],[AB]]/Zuw_Ausgaben[[#This Row],[I]],""),Zuw_Ausgaben[[#This Row],[AB]])</f>
        <v/>
      </c>
    </row>
    <row r="40" spans="1:29" s="2" customFormat="1">
      <c r="A40" s="341">
        <v>32</v>
      </c>
      <c r="B40" s="170"/>
      <c r="C40" s="296"/>
      <c r="D40" s="297"/>
      <c r="E40" s="171"/>
      <c r="F40" s="171"/>
      <c r="G40" s="298"/>
      <c r="H40" s="290"/>
      <c r="I40" s="339" t="str">
        <f>IF(YEAR(Zuw_Ausgaben[[#This Row],[E]])&gt;YEAR($H$7),YEAR(Zuw_Ausgaben[[#This Row],[E]])-YEAR($H$7),"")</f>
        <v/>
      </c>
      <c r="J40" s="349">
        <f>IF(Zuw_Ausgaben[[#This Row],[I]]&lt;&gt;"",ROUND(Zuw_Ausgaben[[#This Row],[H]]+Zuw_Ausgaben[[#This Row],[H]]*Zuw_Ausgaben[[#This Row],[I]]*$J$7,-3),Zuw_Ausgaben[[#This Row],[H]])</f>
        <v>0</v>
      </c>
      <c r="K40" s="350">
        <f>Zuw_Ausgaben[[#This Row],[J]]-Zuw_Ausgaben[[#This Row],[Z]]</f>
        <v>0</v>
      </c>
      <c r="L40" s="292"/>
      <c r="M40" s="172"/>
      <c r="N40" s="172"/>
      <c r="O40" s="172"/>
      <c r="P40" s="172"/>
      <c r="Q40" s="172"/>
      <c r="R40" s="172"/>
      <c r="S40" s="172"/>
      <c r="T40" s="172"/>
      <c r="U40" s="172"/>
      <c r="V40" s="172"/>
      <c r="W40" s="172"/>
      <c r="X40" s="172"/>
      <c r="Y40" s="172"/>
      <c r="Z40" s="66">
        <f>SUM(Zuw_Ausgaben[[#This Row],[L]:[Y]])</f>
        <v>0</v>
      </c>
      <c r="AA40" s="343" t="str">
        <f>IF(Zuw_Ausgaben[[#This Row],[Z]]-Zuw_Ausgaben[[#This Row],[H]]&lt;&gt;0,Zuw_Ausgaben[[#This Row],[Z]]-Zuw_Ausgaben[[#This Row],[H]],"")</f>
        <v/>
      </c>
      <c r="AB40" s="344" t="str">
        <f>IF(Zuw_Ausgaben[[#This Row],[AA]]&lt;&gt;"",IFERROR(Zuw_Ausgaben[[#This Row],[AA]]/Zuw_Ausgaben[[#This Row],[H]],""),"")</f>
        <v/>
      </c>
      <c r="AC40" s="344" t="str">
        <f>IFERROR(IF(Zuw_Ausgaben[[#This Row],[AB]]&lt;&gt;"",Zuw_Ausgaben[[#This Row],[AB]]/Zuw_Ausgaben[[#This Row],[I]],""),Zuw_Ausgaben[[#This Row],[AB]])</f>
        <v/>
      </c>
    </row>
    <row r="41" spans="1:29" s="2" customFormat="1">
      <c r="A41" s="341">
        <v>33</v>
      </c>
      <c r="B41" s="170"/>
      <c r="C41" s="296"/>
      <c r="D41" s="297"/>
      <c r="E41" s="171"/>
      <c r="F41" s="171"/>
      <c r="G41" s="298"/>
      <c r="H41" s="290"/>
      <c r="I41" s="339" t="str">
        <f>IF(YEAR(Zuw_Ausgaben[[#This Row],[E]])&gt;YEAR($H$7),YEAR(Zuw_Ausgaben[[#This Row],[E]])-YEAR($H$7),"")</f>
        <v/>
      </c>
      <c r="J41" s="349">
        <f>IF(Zuw_Ausgaben[[#This Row],[I]]&lt;&gt;"",ROUND(Zuw_Ausgaben[[#This Row],[H]]+Zuw_Ausgaben[[#This Row],[H]]*Zuw_Ausgaben[[#This Row],[I]]*$J$7,-3),Zuw_Ausgaben[[#This Row],[H]])</f>
        <v>0</v>
      </c>
      <c r="K41" s="350">
        <f>Zuw_Ausgaben[[#This Row],[J]]-Zuw_Ausgaben[[#This Row],[Z]]</f>
        <v>0</v>
      </c>
      <c r="L41" s="292"/>
      <c r="M41" s="172"/>
      <c r="N41" s="172"/>
      <c r="O41" s="172"/>
      <c r="P41" s="172"/>
      <c r="Q41" s="172"/>
      <c r="R41" s="172"/>
      <c r="S41" s="172"/>
      <c r="T41" s="172"/>
      <c r="U41" s="172"/>
      <c r="V41" s="172"/>
      <c r="W41" s="172"/>
      <c r="X41" s="172"/>
      <c r="Y41" s="172"/>
      <c r="Z41" s="66">
        <f>SUM(Zuw_Ausgaben[[#This Row],[L]:[Y]])</f>
        <v>0</v>
      </c>
      <c r="AA41" s="343" t="str">
        <f>IF(Zuw_Ausgaben[[#This Row],[Z]]-Zuw_Ausgaben[[#This Row],[H]]&lt;&gt;0,Zuw_Ausgaben[[#This Row],[Z]]-Zuw_Ausgaben[[#This Row],[H]],"")</f>
        <v/>
      </c>
      <c r="AB41" s="344" t="str">
        <f>IF(Zuw_Ausgaben[[#This Row],[AA]]&lt;&gt;"",IFERROR(Zuw_Ausgaben[[#This Row],[AA]]/Zuw_Ausgaben[[#This Row],[H]],""),"")</f>
        <v/>
      </c>
      <c r="AC41" s="344" t="str">
        <f>IFERROR(IF(Zuw_Ausgaben[[#This Row],[AB]]&lt;&gt;"",Zuw_Ausgaben[[#This Row],[AB]]/Zuw_Ausgaben[[#This Row],[I]],""),Zuw_Ausgaben[[#This Row],[AB]])</f>
        <v/>
      </c>
    </row>
    <row r="42" spans="1:29" s="2" customFormat="1">
      <c r="A42" s="341">
        <v>34</v>
      </c>
      <c r="B42" s="170"/>
      <c r="C42" s="296"/>
      <c r="D42" s="297"/>
      <c r="E42" s="171"/>
      <c r="F42" s="171"/>
      <c r="G42" s="298"/>
      <c r="H42" s="290"/>
      <c r="I42" s="339" t="str">
        <f>IF(YEAR(Zuw_Ausgaben[[#This Row],[E]])&gt;YEAR($H$7),YEAR(Zuw_Ausgaben[[#This Row],[E]])-YEAR($H$7),"")</f>
        <v/>
      </c>
      <c r="J42" s="349">
        <f>IF(Zuw_Ausgaben[[#This Row],[I]]&lt;&gt;"",ROUND(Zuw_Ausgaben[[#This Row],[H]]+Zuw_Ausgaben[[#This Row],[H]]*Zuw_Ausgaben[[#This Row],[I]]*$J$7,-3),Zuw_Ausgaben[[#This Row],[H]])</f>
        <v>0</v>
      </c>
      <c r="K42" s="350">
        <f>Zuw_Ausgaben[[#This Row],[J]]-Zuw_Ausgaben[[#This Row],[Z]]</f>
        <v>0</v>
      </c>
      <c r="L42" s="292"/>
      <c r="M42" s="172"/>
      <c r="N42" s="172"/>
      <c r="O42" s="172"/>
      <c r="P42" s="172"/>
      <c r="Q42" s="172"/>
      <c r="R42" s="172"/>
      <c r="S42" s="172"/>
      <c r="T42" s="172"/>
      <c r="U42" s="172"/>
      <c r="V42" s="172"/>
      <c r="W42" s="172"/>
      <c r="X42" s="172"/>
      <c r="Y42" s="172"/>
      <c r="Z42" s="66">
        <f>SUM(Zuw_Ausgaben[[#This Row],[L]:[Y]])</f>
        <v>0</v>
      </c>
      <c r="AA42" s="343" t="str">
        <f>IF(Zuw_Ausgaben[[#This Row],[Z]]-Zuw_Ausgaben[[#This Row],[H]]&lt;&gt;0,Zuw_Ausgaben[[#This Row],[Z]]-Zuw_Ausgaben[[#This Row],[H]],"")</f>
        <v/>
      </c>
      <c r="AB42" s="344" t="str">
        <f>IF(Zuw_Ausgaben[[#This Row],[AA]]&lt;&gt;"",IFERROR(Zuw_Ausgaben[[#This Row],[AA]]/Zuw_Ausgaben[[#This Row],[H]],""),"")</f>
        <v/>
      </c>
      <c r="AC42" s="344" t="str">
        <f>IFERROR(IF(Zuw_Ausgaben[[#This Row],[AB]]&lt;&gt;"",Zuw_Ausgaben[[#This Row],[AB]]/Zuw_Ausgaben[[#This Row],[I]],""),Zuw_Ausgaben[[#This Row],[AB]])</f>
        <v/>
      </c>
    </row>
    <row r="43" spans="1:29" s="2" customFormat="1">
      <c r="A43" s="341">
        <v>35</v>
      </c>
      <c r="B43" s="170"/>
      <c r="C43" s="296"/>
      <c r="D43" s="297"/>
      <c r="E43" s="171"/>
      <c r="F43" s="171"/>
      <c r="G43" s="298"/>
      <c r="H43" s="290"/>
      <c r="I43" s="339" t="str">
        <f>IF(YEAR(Zuw_Ausgaben[[#This Row],[E]])&gt;YEAR($H$7),YEAR(Zuw_Ausgaben[[#This Row],[E]])-YEAR($H$7),"")</f>
        <v/>
      </c>
      <c r="J43" s="349">
        <f>IF(Zuw_Ausgaben[[#This Row],[I]]&lt;&gt;"",ROUND(Zuw_Ausgaben[[#This Row],[H]]+Zuw_Ausgaben[[#This Row],[H]]*Zuw_Ausgaben[[#This Row],[I]]*$J$7,-3),Zuw_Ausgaben[[#This Row],[H]])</f>
        <v>0</v>
      </c>
      <c r="K43" s="350">
        <f>Zuw_Ausgaben[[#This Row],[J]]-Zuw_Ausgaben[[#This Row],[Z]]</f>
        <v>0</v>
      </c>
      <c r="L43" s="292"/>
      <c r="M43" s="172"/>
      <c r="N43" s="172"/>
      <c r="O43" s="172"/>
      <c r="P43" s="172"/>
      <c r="Q43" s="172"/>
      <c r="R43" s="172"/>
      <c r="S43" s="172"/>
      <c r="T43" s="172"/>
      <c r="U43" s="172"/>
      <c r="V43" s="172"/>
      <c r="W43" s="172"/>
      <c r="X43" s="172"/>
      <c r="Y43" s="172"/>
      <c r="Z43" s="66">
        <f>SUM(Zuw_Ausgaben[[#This Row],[L]:[Y]])</f>
        <v>0</v>
      </c>
      <c r="AA43" s="343" t="str">
        <f>IF(Zuw_Ausgaben[[#This Row],[Z]]-Zuw_Ausgaben[[#This Row],[H]]&lt;&gt;0,Zuw_Ausgaben[[#This Row],[Z]]-Zuw_Ausgaben[[#This Row],[H]],"")</f>
        <v/>
      </c>
      <c r="AB43" s="344" t="str">
        <f>IF(Zuw_Ausgaben[[#This Row],[AA]]&lt;&gt;"",IFERROR(Zuw_Ausgaben[[#This Row],[AA]]/Zuw_Ausgaben[[#This Row],[H]],""),"")</f>
        <v/>
      </c>
      <c r="AC43" s="344" t="str">
        <f>IFERROR(IF(Zuw_Ausgaben[[#This Row],[AB]]&lt;&gt;"",Zuw_Ausgaben[[#This Row],[AB]]/Zuw_Ausgaben[[#This Row],[I]],""),Zuw_Ausgaben[[#This Row],[AB]])</f>
        <v/>
      </c>
    </row>
    <row r="44" spans="1:29" s="2" customFormat="1">
      <c r="A44" s="341">
        <v>36</v>
      </c>
      <c r="B44" s="170"/>
      <c r="C44" s="296"/>
      <c r="D44" s="297"/>
      <c r="E44" s="171"/>
      <c r="F44" s="171"/>
      <c r="G44" s="298"/>
      <c r="H44" s="290"/>
      <c r="I44" s="339" t="str">
        <f>IF(YEAR(Zuw_Ausgaben[[#This Row],[E]])&gt;YEAR($H$7),YEAR(Zuw_Ausgaben[[#This Row],[E]])-YEAR($H$7),"")</f>
        <v/>
      </c>
      <c r="J44" s="349">
        <f>IF(Zuw_Ausgaben[[#This Row],[I]]&lt;&gt;"",ROUND(Zuw_Ausgaben[[#This Row],[H]]+Zuw_Ausgaben[[#This Row],[H]]*Zuw_Ausgaben[[#This Row],[I]]*$J$7,-3),Zuw_Ausgaben[[#This Row],[H]])</f>
        <v>0</v>
      </c>
      <c r="K44" s="350">
        <f>Zuw_Ausgaben[[#This Row],[J]]-Zuw_Ausgaben[[#This Row],[Z]]</f>
        <v>0</v>
      </c>
      <c r="L44" s="292"/>
      <c r="M44" s="172"/>
      <c r="N44" s="172"/>
      <c r="O44" s="172"/>
      <c r="P44" s="172"/>
      <c r="Q44" s="172"/>
      <c r="R44" s="172"/>
      <c r="S44" s="172"/>
      <c r="T44" s="172"/>
      <c r="U44" s="172"/>
      <c r="V44" s="172"/>
      <c r="W44" s="172"/>
      <c r="X44" s="172"/>
      <c r="Y44" s="172"/>
      <c r="Z44" s="66">
        <f>SUM(Zuw_Ausgaben[[#This Row],[L]:[Y]])</f>
        <v>0</v>
      </c>
      <c r="AA44" s="343" t="str">
        <f>IF(Zuw_Ausgaben[[#This Row],[Z]]-Zuw_Ausgaben[[#This Row],[H]]&lt;&gt;0,Zuw_Ausgaben[[#This Row],[Z]]-Zuw_Ausgaben[[#This Row],[H]],"")</f>
        <v/>
      </c>
      <c r="AB44" s="344" t="str">
        <f>IF(Zuw_Ausgaben[[#This Row],[AA]]&lt;&gt;"",IFERROR(Zuw_Ausgaben[[#This Row],[AA]]/Zuw_Ausgaben[[#This Row],[H]],""),"")</f>
        <v/>
      </c>
      <c r="AC44" s="344" t="str">
        <f>IFERROR(IF(Zuw_Ausgaben[[#This Row],[AB]]&lt;&gt;"",Zuw_Ausgaben[[#This Row],[AB]]/Zuw_Ausgaben[[#This Row],[I]],""),Zuw_Ausgaben[[#This Row],[AB]])</f>
        <v/>
      </c>
    </row>
    <row r="45" spans="1:29" s="2" customFormat="1">
      <c r="A45" s="341">
        <v>37</v>
      </c>
      <c r="B45" s="170"/>
      <c r="C45" s="296"/>
      <c r="D45" s="297"/>
      <c r="E45" s="171"/>
      <c r="F45" s="171"/>
      <c r="G45" s="298"/>
      <c r="H45" s="290"/>
      <c r="I45" s="339" t="str">
        <f>IF(YEAR(Zuw_Ausgaben[[#This Row],[E]])&gt;YEAR($H$7),YEAR(Zuw_Ausgaben[[#This Row],[E]])-YEAR($H$7),"")</f>
        <v/>
      </c>
      <c r="J45" s="349">
        <f>IF(Zuw_Ausgaben[[#This Row],[I]]&lt;&gt;"",ROUND(Zuw_Ausgaben[[#This Row],[H]]+Zuw_Ausgaben[[#This Row],[H]]*Zuw_Ausgaben[[#This Row],[I]]*$J$7,-3),Zuw_Ausgaben[[#This Row],[H]])</f>
        <v>0</v>
      </c>
      <c r="K45" s="350">
        <f>Zuw_Ausgaben[[#This Row],[J]]-Zuw_Ausgaben[[#This Row],[Z]]</f>
        <v>0</v>
      </c>
      <c r="L45" s="292"/>
      <c r="M45" s="172"/>
      <c r="N45" s="172"/>
      <c r="O45" s="172"/>
      <c r="P45" s="172"/>
      <c r="Q45" s="172"/>
      <c r="R45" s="172"/>
      <c r="S45" s="172"/>
      <c r="T45" s="172"/>
      <c r="U45" s="172"/>
      <c r="V45" s="172"/>
      <c r="W45" s="172"/>
      <c r="X45" s="172"/>
      <c r="Y45" s="172"/>
      <c r="Z45" s="66">
        <f>SUM(Zuw_Ausgaben[[#This Row],[L]:[Y]])</f>
        <v>0</v>
      </c>
      <c r="AA45" s="343" t="str">
        <f>IF(Zuw_Ausgaben[[#This Row],[Z]]-Zuw_Ausgaben[[#This Row],[H]]&lt;&gt;0,Zuw_Ausgaben[[#This Row],[Z]]-Zuw_Ausgaben[[#This Row],[H]],"")</f>
        <v/>
      </c>
      <c r="AB45" s="344" t="str">
        <f>IF(Zuw_Ausgaben[[#This Row],[AA]]&lt;&gt;"",IFERROR(Zuw_Ausgaben[[#This Row],[AA]]/Zuw_Ausgaben[[#This Row],[H]],""),"")</f>
        <v/>
      </c>
      <c r="AC45" s="344" t="str">
        <f>IFERROR(IF(Zuw_Ausgaben[[#This Row],[AB]]&lt;&gt;"",Zuw_Ausgaben[[#This Row],[AB]]/Zuw_Ausgaben[[#This Row],[I]],""),Zuw_Ausgaben[[#This Row],[AB]])</f>
        <v/>
      </c>
    </row>
    <row r="46" spans="1:29" s="2" customFormat="1">
      <c r="A46" s="341">
        <v>38</v>
      </c>
      <c r="B46" s="170"/>
      <c r="C46" s="296"/>
      <c r="D46" s="297"/>
      <c r="E46" s="171"/>
      <c r="F46" s="171"/>
      <c r="G46" s="298"/>
      <c r="H46" s="290"/>
      <c r="I46" s="339" t="str">
        <f>IF(YEAR(Zuw_Ausgaben[[#This Row],[E]])&gt;YEAR($H$7),YEAR(Zuw_Ausgaben[[#This Row],[E]])-YEAR($H$7),"")</f>
        <v/>
      </c>
      <c r="J46" s="349">
        <f>IF(Zuw_Ausgaben[[#This Row],[I]]&lt;&gt;"",ROUND(Zuw_Ausgaben[[#This Row],[H]]+Zuw_Ausgaben[[#This Row],[H]]*Zuw_Ausgaben[[#This Row],[I]]*$J$7,-3),Zuw_Ausgaben[[#This Row],[H]])</f>
        <v>0</v>
      </c>
      <c r="K46" s="350">
        <f>Zuw_Ausgaben[[#This Row],[J]]-Zuw_Ausgaben[[#This Row],[Z]]</f>
        <v>0</v>
      </c>
      <c r="L46" s="292"/>
      <c r="M46" s="172"/>
      <c r="N46" s="172"/>
      <c r="O46" s="172"/>
      <c r="P46" s="172"/>
      <c r="Q46" s="172"/>
      <c r="R46" s="172"/>
      <c r="S46" s="172"/>
      <c r="T46" s="172"/>
      <c r="U46" s="172"/>
      <c r="V46" s="172"/>
      <c r="W46" s="172"/>
      <c r="X46" s="172"/>
      <c r="Y46" s="172"/>
      <c r="Z46" s="66">
        <f>SUM(Zuw_Ausgaben[[#This Row],[L]:[Y]])</f>
        <v>0</v>
      </c>
      <c r="AA46" s="343" t="str">
        <f>IF(Zuw_Ausgaben[[#This Row],[Z]]-Zuw_Ausgaben[[#This Row],[H]]&lt;&gt;0,Zuw_Ausgaben[[#This Row],[Z]]-Zuw_Ausgaben[[#This Row],[H]],"")</f>
        <v/>
      </c>
      <c r="AB46" s="344" t="str">
        <f>IF(Zuw_Ausgaben[[#This Row],[AA]]&lt;&gt;"",IFERROR(Zuw_Ausgaben[[#This Row],[AA]]/Zuw_Ausgaben[[#This Row],[H]],""),"")</f>
        <v/>
      </c>
      <c r="AC46" s="344" t="str">
        <f>IFERROR(IF(Zuw_Ausgaben[[#This Row],[AB]]&lt;&gt;"",Zuw_Ausgaben[[#This Row],[AB]]/Zuw_Ausgaben[[#This Row],[I]],""),Zuw_Ausgaben[[#This Row],[AB]])</f>
        <v/>
      </c>
    </row>
    <row r="47" spans="1:29" s="2" customFormat="1">
      <c r="A47" s="341">
        <v>39</v>
      </c>
      <c r="B47" s="170"/>
      <c r="C47" s="296"/>
      <c r="D47" s="297"/>
      <c r="E47" s="171"/>
      <c r="F47" s="171"/>
      <c r="G47" s="298"/>
      <c r="H47" s="290"/>
      <c r="I47" s="339" t="str">
        <f>IF(YEAR(Zuw_Ausgaben[[#This Row],[E]])&gt;YEAR($H$7),YEAR(Zuw_Ausgaben[[#This Row],[E]])-YEAR($H$7),"")</f>
        <v/>
      </c>
      <c r="J47" s="349">
        <f>IF(Zuw_Ausgaben[[#This Row],[I]]&lt;&gt;"",ROUND(Zuw_Ausgaben[[#This Row],[H]]+Zuw_Ausgaben[[#This Row],[H]]*Zuw_Ausgaben[[#This Row],[I]]*$J$7,-3),Zuw_Ausgaben[[#This Row],[H]])</f>
        <v>0</v>
      </c>
      <c r="K47" s="350">
        <f>Zuw_Ausgaben[[#This Row],[J]]-Zuw_Ausgaben[[#This Row],[Z]]</f>
        <v>0</v>
      </c>
      <c r="L47" s="292"/>
      <c r="M47" s="172"/>
      <c r="N47" s="172"/>
      <c r="O47" s="172"/>
      <c r="P47" s="172"/>
      <c r="Q47" s="172"/>
      <c r="R47" s="172"/>
      <c r="S47" s="172"/>
      <c r="T47" s="172"/>
      <c r="U47" s="172"/>
      <c r="V47" s="172"/>
      <c r="W47" s="172"/>
      <c r="X47" s="172"/>
      <c r="Y47" s="172"/>
      <c r="Z47" s="66">
        <f>SUM(Zuw_Ausgaben[[#This Row],[L]:[Y]])</f>
        <v>0</v>
      </c>
      <c r="AA47" s="343" t="str">
        <f>IF(Zuw_Ausgaben[[#This Row],[Z]]-Zuw_Ausgaben[[#This Row],[H]]&lt;&gt;0,Zuw_Ausgaben[[#This Row],[Z]]-Zuw_Ausgaben[[#This Row],[H]],"")</f>
        <v/>
      </c>
      <c r="AB47" s="344" t="str">
        <f>IF(Zuw_Ausgaben[[#This Row],[AA]]&lt;&gt;"",IFERROR(Zuw_Ausgaben[[#This Row],[AA]]/Zuw_Ausgaben[[#This Row],[H]],""),"")</f>
        <v/>
      </c>
      <c r="AC47" s="344" t="str">
        <f>IFERROR(IF(Zuw_Ausgaben[[#This Row],[AB]]&lt;&gt;"",Zuw_Ausgaben[[#This Row],[AB]]/Zuw_Ausgaben[[#This Row],[I]],""),Zuw_Ausgaben[[#This Row],[AB]])</f>
        <v/>
      </c>
    </row>
    <row r="48" spans="1:29" s="2" customFormat="1">
      <c r="A48" s="341">
        <v>40</v>
      </c>
      <c r="B48" s="170"/>
      <c r="C48" s="296"/>
      <c r="D48" s="297"/>
      <c r="E48" s="171"/>
      <c r="F48" s="171"/>
      <c r="G48" s="298"/>
      <c r="H48" s="290"/>
      <c r="I48" s="339" t="str">
        <f>IF(YEAR(Zuw_Ausgaben[[#This Row],[E]])&gt;YEAR($H$7),YEAR(Zuw_Ausgaben[[#This Row],[E]])-YEAR($H$7),"")</f>
        <v/>
      </c>
      <c r="J48" s="349">
        <f>IF(Zuw_Ausgaben[[#This Row],[I]]&lt;&gt;"",ROUND(Zuw_Ausgaben[[#This Row],[H]]+Zuw_Ausgaben[[#This Row],[H]]*Zuw_Ausgaben[[#This Row],[I]]*$J$7,-3),Zuw_Ausgaben[[#This Row],[H]])</f>
        <v>0</v>
      </c>
      <c r="K48" s="350">
        <f>Zuw_Ausgaben[[#This Row],[J]]-Zuw_Ausgaben[[#This Row],[Z]]</f>
        <v>0</v>
      </c>
      <c r="L48" s="292"/>
      <c r="M48" s="172"/>
      <c r="N48" s="172"/>
      <c r="O48" s="172"/>
      <c r="P48" s="172"/>
      <c r="Q48" s="172"/>
      <c r="R48" s="172"/>
      <c r="S48" s="172"/>
      <c r="T48" s="172"/>
      <c r="U48" s="172"/>
      <c r="V48" s="172"/>
      <c r="W48" s="172"/>
      <c r="X48" s="172"/>
      <c r="Y48" s="172"/>
      <c r="Z48" s="66">
        <f>SUM(Zuw_Ausgaben[[#This Row],[L]:[Y]])</f>
        <v>0</v>
      </c>
      <c r="AA48" s="343" t="str">
        <f>IF(Zuw_Ausgaben[[#This Row],[Z]]-Zuw_Ausgaben[[#This Row],[H]]&lt;&gt;0,Zuw_Ausgaben[[#This Row],[Z]]-Zuw_Ausgaben[[#This Row],[H]],"")</f>
        <v/>
      </c>
      <c r="AB48" s="344" t="str">
        <f>IF(Zuw_Ausgaben[[#This Row],[AA]]&lt;&gt;"",IFERROR(Zuw_Ausgaben[[#This Row],[AA]]/Zuw_Ausgaben[[#This Row],[H]],""),"")</f>
        <v/>
      </c>
      <c r="AC48" s="344" t="str">
        <f>IFERROR(IF(Zuw_Ausgaben[[#This Row],[AB]]&lt;&gt;"",Zuw_Ausgaben[[#This Row],[AB]]/Zuw_Ausgaben[[#This Row],[I]],""),Zuw_Ausgaben[[#This Row],[AB]])</f>
        <v/>
      </c>
    </row>
    <row r="49" spans="1:29" s="2" customFormat="1">
      <c r="A49" s="341">
        <v>41</v>
      </c>
      <c r="B49" s="170"/>
      <c r="C49" s="296"/>
      <c r="D49" s="297"/>
      <c r="E49" s="171"/>
      <c r="F49" s="171"/>
      <c r="G49" s="298"/>
      <c r="H49" s="290"/>
      <c r="I49" s="339" t="str">
        <f>IF(YEAR(Zuw_Ausgaben[[#This Row],[E]])&gt;YEAR($H$7),YEAR(Zuw_Ausgaben[[#This Row],[E]])-YEAR($H$7),"")</f>
        <v/>
      </c>
      <c r="J49" s="349">
        <f>IF(Zuw_Ausgaben[[#This Row],[I]]&lt;&gt;"",ROUND(Zuw_Ausgaben[[#This Row],[H]]+Zuw_Ausgaben[[#This Row],[H]]*Zuw_Ausgaben[[#This Row],[I]]*$J$7,-3),Zuw_Ausgaben[[#This Row],[H]])</f>
        <v>0</v>
      </c>
      <c r="K49" s="350">
        <f>Zuw_Ausgaben[[#This Row],[J]]-Zuw_Ausgaben[[#This Row],[Z]]</f>
        <v>0</v>
      </c>
      <c r="L49" s="292"/>
      <c r="M49" s="172"/>
      <c r="N49" s="172"/>
      <c r="O49" s="172"/>
      <c r="P49" s="172"/>
      <c r="Q49" s="172"/>
      <c r="R49" s="172"/>
      <c r="S49" s="172"/>
      <c r="T49" s="172"/>
      <c r="U49" s="172"/>
      <c r="V49" s="172"/>
      <c r="W49" s="172"/>
      <c r="X49" s="172"/>
      <c r="Y49" s="172"/>
      <c r="Z49" s="66">
        <f>SUM(Zuw_Ausgaben[[#This Row],[L]:[Y]])</f>
        <v>0</v>
      </c>
      <c r="AA49" s="343" t="str">
        <f>IF(Zuw_Ausgaben[[#This Row],[Z]]-Zuw_Ausgaben[[#This Row],[H]]&lt;&gt;0,Zuw_Ausgaben[[#This Row],[Z]]-Zuw_Ausgaben[[#This Row],[H]],"")</f>
        <v/>
      </c>
      <c r="AB49" s="344" t="str">
        <f>IF(Zuw_Ausgaben[[#This Row],[AA]]&lt;&gt;"",IFERROR(Zuw_Ausgaben[[#This Row],[AA]]/Zuw_Ausgaben[[#This Row],[H]],""),"")</f>
        <v/>
      </c>
      <c r="AC49" s="344" t="str">
        <f>IFERROR(IF(Zuw_Ausgaben[[#This Row],[AB]]&lt;&gt;"",Zuw_Ausgaben[[#This Row],[AB]]/Zuw_Ausgaben[[#This Row],[I]],""),Zuw_Ausgaben[[#This Row],[AB]])</f>
        <v/>
      </c>
    </row>
    <row r="50" spans="1:29" s="2" customFormat="1">
      <c r="A50" s="341">
        <v>42</v>
      </c>
      <c r="B50" s="170"/>
      <c r="C50" s="296"/>
      <c r="D50" s="297"/>
      <c r="E50" s="171"/>
      <c r="F50" s="171"/>
      <c r="G50" s="298"/>
      <c r="H50" s="290"/>
      <c r="I50" s="339" t="str">
        <f>IF(YEAR(Zuw_Ausgaben[[#This Row],[E]])&gt;YEAR($H$7),YEAR(Zuw_Ausgaben[[#This Row],[E]])-YEAR($H$7),"")</f>
        <v/>
      </c>
      <c r="J50" s="349">
        <f>IF(Zuw_Ausgaben[[#This Row],[I]]&lt;&gt;"",ROUND(Zuw_Ausgaben[[#This Row],[H]]+Zuw_Ausgaben[[#This Row],[H]]*Zuw_Ausgaben[[#This Row],[I]]*$J$7,-3),Zuw_Ausgaben[[#This Row],[H]])</f>
        <v>0</v>
      </c>
      <c r="K50" s="350">
        <f>Zuw_Ausgaben[[#This Row],[J]]-Zuw_Ausgaben[[#This Row],[Z]]</f>
        <v>0</v>
      </c>
      <c r="L50" s="292"/>
      <c r="M50" s="172"/>
      <c r="N50" s="172"/>
      <c r="O50" s="172"/>
      <c r="P50" s="172"/>
      <c r="Q50" s="172"/>
      <c r="R50" s="172"/>
      <c r="S50" s="172"/>
      <c r="T50" s="172"/>
      <c r="U50" s="172"/>
      <c r="V50" s="172"/>
      <c r="W50" s="172"/>
      <c r="X50" s="172"/>
      <c r="Y50" s="172"/>
      <c r="Z50" s="66">
        <f>SUM(Zuw_Ausgaben[[#This Row],[L]:[Y]])</f>
        <v>0</v>
      </c>
      <c r="AA50" s="343" t="str">
        <f>IF(Zuw_Ausgaben[[#This Row],[Z]]-Zuw_Ausgaben[[#This Row],[H]]&lt;&gt;0,Zuw_Ausgaben[[#This Row],[Z]]-Zuw_Ausgaben[[#This Row],[H]],"")</f>
        <v/>
      </c>
      <c r="AB50" s="344" t="str">
        <f>IF(Zuw_Ausgaben[[#This Row],[AA]]&lt;&gt;"",IFERROR(Zuw_Ausgaben[[#This Row],[AA]]/Zuw_Ausgaben[[#This Row],[H]],""),"")</f>
        <v/>
      </c>
      <c r="AC50" s="344" t="str">
        <f>IFERROR(IF(Zuw_Ausgaben[[#This Row],[AB]]&lt;&gt;"",Zuw_Ausgaben[[#This Row],[AB]]/Zuw_Ausgaben[[#This Row],[I]],""),Zuw_Ausgaben[[#This Row],[AB]])</f>
        <v/>
      </c>
    </row>
    <row r="51" spans="1:29" s="2" customFormat="1">
      <c r="A51" s="341">
        <v>43</v>
      </c>
      <c r="B51" s="170"/>
      <c r="C51" s="296"/>
      <c r="D51" s="297"/>
      <c r="E51" s="171"/>
      <c r="F51" s="171"/>
      <c r="G51" s="298"/>
      <c r="H51" s="290"/>
      <c r="I51" s="339" t="str">
        <f>IF(YEAR(Zuw_Ausgaben[[#This Row],[E]])&gt;YEAR($H$7),YEAR(Zuw_Ausgaben[[#This Row],[E]])-YEAR($H$7),"")</f>
        <v/>
      </c>
      <c r="J51" s="349">
        <f>IF(Zuw_Ausgaben[[#This Row],[I]]&lt;&gt;"",ROUND(Zuw_Ausgaben[[#This Row],[H]]+Zuw_Ausgaben[[#This Row],[H]]*Zuw_Ausgaben[[#This Row],[I]]*$J$7,-3),Zuw_Ausgaben[[#This Row],[H]])</f>
        <v>0</v>
      </c>
      <c r="K51" s="350">
        <f>Zuw_Ausgaben[[#This Row],[J]]-Zuw_Ausgaben[[#This Row],[Z]]</f>
        <v>0</v>
      </c>
      <c r="L51" s="292"/>
      <c r="M51" s="172"/>
      <c r="N51" s="172"/>
      <c r="O51" s="172"/>
      <c r="P51" s="172"/>
      <c r="Q51" s="172"/>
      <c r="R51" s="172"/>
      <c r="S51" s="172"/>
      <c r="T51" s="172"/>
      <c r="U51" s="172"/>
      <c r="V51" s="172"/>
      <c r="W51" s="172"/>
      <c r="X51" s="172"/>
      <c r="Y51" s="172"/>
      <c r="Z51" s="66">
        <f>SUM(Zuw_Ausgaben[[#This Row],[L]:[Y]])</f>
        <v>0</v>
      </c>
      <c r="AA51" s="343" t="str">
        <f>IF(Zuw_Ausgaben[[#This Row],[Z]]-Zuw_Ausgaben[[#This Row],[H]]&lt;&gt;0,Zuw_Ausgaben[[#This Row],[Z]]-Zuw_Ausgaben[[#This Row],[H]],"")</f>
        <v/>
      </c>
      <c r="AB51" s="344" t="str">
        <f>IF(Zuw_Ausgaben[[#This Row],[AA]]&lt;&gt;"",IFERROR(Zuw_Ausgaben[[#This Row],[AA]]/Zuw_Ausgaben[[#This Row],[H]],""),"")</f>
        <v/>
      </c>
      <c r="AC51" s="344" t="str">
        <f>IFERROR(IF(Zuw_Ausgaben[[#This Row],[AB]]&lt;&gt;"",Zuw_Ausgaben[[#This Row],[AB]]/Zuw_Ausgaben[[#This Row],[I]],""),Zuw_Ausgaben[[#This Row],[AB]])</f>
        <v/>
      </c>
    </row>
    <row r="52" spans="1:29" s="2" customFormat="1">
      <c r="A52" s="341">
        <v>44</v>
      </c>
      <c r="B52" s="170"/>
      <c r="C52" s="296"/>
      <c r="D52" s="297"/>
      <c r="E52" s="171"/>
      <c r="F52" s="171"/>
      <c r="G52" s="298"/>
      <c r="H52" s="290"/>
      <c r="I52" s="339" t="str">
        <f>IF(YEAR(Zuw_Ausgaben[[#This Row],[E]])&gt;YEAR($H$7),YEAR(Zuw_Ausgaben[[#This Row],[E]])-YEAR($H$7),"")</f>
        <v/>
      </c>
      <c r="J52" s="349">
        <f>IF(Zuw_Ausgaben[[#This Row],[I]]&lt;&gt;"",ROUND(Zuw_Ausgaben[[#This Row],[H]]+Zuw_Ausgaben[[#This Row],[H]]*Zuw_Ausgaben[[#This Row],[I]]*$J$7,-3),Zuw_Ausgaben[[#This Row],[H]])</f>
        <v>0</v>
      </c>
      <c r="K52" s="350">
        <f>Zuw_Ausgaben[[#This Row],[J]]-Zuw_Ausgaben[[#This Row],[Z]]</f>
        <v>0</v>
      </c>
      <c r="L52" s="292"/>
      <c r="M52" s="172"/>
      <c r="N52" s="172"/>
      <c r="O52" s="172"/>
      <c r="P52" s="172"/>
      <c r="Q52" s="172"/>
      <c r="R52" s="172"/>
      <c r="S52" s="172"/>
      <c r="T52" s="172"/>
      <c r="U52" s="172"/>
      <c r="V52" s="172"/>
      <c r="W52" s="172"/>
      <c r="X52" s="172"/>
      <c r="Y52" s="172"/>
      <c r="Z52" s="66">
        <f>SUM(Zuw_Ausgaben[[#This Row],[L]:[Y]])</f>
        <v>0</v>
      </c>
      <c r="AA52" s="343" t="str">
        <f>IF(Zuw_Ausgaben[[#This Row],[Z]]-Zuw_Ausgaben[[#This Row],[H]]&lt;&gt;0,Zuw_Ausgaben[[#This Row],[Z]]-Zuw_Ausgaben[[#This Row],[H]],"")</f>
        <v/>
      </c>
      <c r="AB52" s="344" t="str">
        <f>IF(Zuw_Ausgaben[[#This Row],[AA]]&lt;&gt;"",IFERROR(Zuw_Ausgaben[[#This Row],[AA]]/Zuw_Ausgaben[[#This Row],[H]],""),"")</f>
        <v/>
      </c>
      <c r="AC52" s="344" t="str">
        <f>IFERROR(IF(Zuw_Ausgaben[[#This Row],[AB]]&lt;&gt;"",Zuw_Ausgaben[[#This Row],[AB]]/Zuw_Ausgaben[[#This Row],[I]],""),Zuw_Ausgaben[[#This Row],[AB]])</f>
        <v/>
      </c>
    </row>
    <row r="53" spans="1:29" s="2" customFormat="1">
      <c r="A53" s="341">
        <v>45</v>
      </c>
      <c r="B53" s="170"/>
      <c r="C53" s="296"/>
      <c r="D53" s="297"/>
      <c r="E53" s="171"/>
      <c r="F53" s="171"/>
      <c r="G53" s="298"/>
      <c r="H53" s="290"/>
      <c r="I53" s="339" t="str">
        <f>IF(YEAR(Zuw_Ausgaben[[#This Row],[E]])&gt;YEAR($H$7),YEAR(Zuw_Ausgaben[[#This Row],[E]])-YEAR($H$7),"")</f>
        <v/>
      </c>
      <c r="J53" s="349">
        <f>IF(Zuw_Ausgaben[[#This Row],[I]]&lt;&gt;"",ROUND(Zuw_Ausgaben[[#This Row],[H]]+Zuw_Ausgaben[[#This Row],[H]]*Zuw_Ausgaben[[#This Row],[I]]*$J$7,-3),Zuw_Ausgaben[[#This Row],[H]])</f>
        <v>0</v>
      </c>
      <c r="K53" s="350">
        <f>Zuw_Ausgaben[[#This Row],[J]]-Zuw_Ausgaben[[#This Row],[Z]]</f>
        <v>0</v>
      </c>
      <c r="L53" s="292"/>
      <c r="M53" s="172"/>
      <c r="N53" s="172"/>
      <c r="O53" s="172"/>
      <c r="P53" s="172"/>
      <c r="Q53" s="172"/>
      <c r="R53" s="172"/>
      <c r="S53" s="172"/>
      <c r="T53" s="172"/>
      <c r="U53" s="172"/>
      <c r="V53" s="172"/>
      <c r="W53" s="172"/>
      <c r="X53" s="172"/>
      <c r="Y53" s="172"/>
      <c r="Z53" s="66">
        <f>SUM(Zuw_Ausgaben[[#This Row],[L]:[Y]])</f>
        <v>0</v>
      </c>
      <c r="AA53" s="343" t="str">
        <f>IF(Zuw_Ausgaben[[#This Row],[Z]]-Zuw_Ausgaben[[#This Row],[H]]&lt;&gt;0,Zuw_Ausgaben[[#This Row],[Z]]-Zuw_Ausgaben[[#This Row],[H]],"")</f>
        <v/>
      </c>
      <c r="AB53" s="344" t="str">
        <f>IF(Zuw_Ausgaben[[#This Row],[AA]]&lt;&gt;"",IFERROR(Zuw_Ausgaben[[#This Row],[AA]]/Zuw_Ausgaben[[#This Row],[H]],""),"")</f>
        <v/>
      </c>
      <c r="AC53" s="344" t="str">
        <f>IFERROR(IF(Zuw_Ausgaben[[#This Row],[AB]]&lt;&gt;"",Zuw_Ausgaben[[#This Row],[AB]]/Zuw_Ausgaben[[#This Row],[I]],""),Zuw_Ausgaben[[#This Row],[AB]])</f>
        <v/>
      </c>
    </row>
    <row r="54" spans="1:29" s="2" customFormat="1">
      <c r="A54" s="341">
        <v>46</v>
      </c>
      <c r="B54" s="170"/>
      <c r="C54" s="296"/>
      <c r="D54" s="297"/>
      <c r="E54" s="171"/>
      <c r="F54" s="171"/>
      <c r="G54" s="298"/>
      <c r="H54" s="290"/>
      <c r="I54" s="339" t="str">
        <f>IF(YEAR(Zuw_Ausgaben[[#This Row],[E]])&gt;YEAR($H$7),YEAR(Zuw_Ausgaben[[#This Row],[E]])-YEAR($H$7),"")</f>
        <v/>
      </c>
      <c r="J54" s="349">
        <f>IF(Zuw_Ausgaben[[#This Row],[I]]&lt;&gt;"",ROUND(Zuw_Ausgaben[[#This Row],[H]]+Zuw_Ausgaben[[#This Row],[H]]*Zuw_Ausgaben[[#This Row],[I]]*$J$7,-3),Zuw_Ausgaben[[#This Row],[H]])</f>
        <v>0</v>
      </c>
      <c r="K54" s="350">
        <f>Zuw_Ausgaben[[#This Row],[J]]-Zuw_Ausgaben[[#This Row],[Z]]</f>
        <v>0</v>
      </c>
      <c r="L54" s="292"/>
      <c r="M54" s="172"/>
      <c r="N54" s="172"/>
      <c r="O54" s="172"/>
      <c r="P54" s="172"/>
      <c r="Q54" s="172"/>
      <c r="R54" s="172"/>
      <c r="S54" s="172"/>
      <c r="T54" s="172"/>
      <c r="U54" s="172"/>
      <c r="V54" s="172"/>
      <c r="W54" s="172"/>
      <c r="X54" s="172"/>
      <c r="Y54" s="172"/>
      <c r="Z54" s="66">
        <f>SUM(Zuw_Ausgaben[[#This Row],[L]:[Y]])</f>
        <v>0</v>
      </c>
      <c r="AA54" s="343" t="str">
        <f>IF(Zuw_Ausgaben[[#This Row],[Z]]-Zuw_Ausgaben[[#This Row],[H]]&lt;&gt;0,Zuw_Ausgaben[[#This Row],[Z]]-Zuw_Ausgaben[[#This Row],[H]],"")</f>
        <v/>
      </c>
      <c r="AB54" s="344" t="str">
        <f>IF(Zuw_Ausgaben[[#This Row],[AA]]&lt;&gt;"",IFERROR(Zuw_Ausgaben[[#This Row],[AA]]/Zuw_Ausgaben[[#This Row],[H]],""),"")</f>
        <v/>
      </c>
      <c r="AC54" s="344" t="str">
        <f>IFERROR(IF(Zuw_Ausgaben[[#This Row],[AB]]&lt;&gt;"",Zuw_Ausgaben[[#This Row],[AB]]/Zuw_Ausgaben[[#This Row],[I]],""),Zuw_Ausgaben[[#This Row],[AB]])</f>
        <v/>
      </c>
    </row>
    <row r="55" spans="1:29" s="2" customFormat="1">
      <c r="A55" s="341">
        <v>47</v>
      </c>
      <c r="B55" s="170"/>
      <c r="C55" s="296"/>
      <c r="D55" s="297"/>
      <c r="E55" s="171"/>
      <c r="F55" s="171"/>
      <c r="G55" s="298"/>
      <c r="H55" s="290"/>
      <c r="I55" s="339" t="str">
        <f>IF(YEAR(Zuw_Ausgaben[[#This Row],[E]])&gt;YEAR($H$7),YEAR(Zuw_Ausgaben[[#This Row],[E]])-YEAR($H$7),"")</f>
        <v/>
      </c>
      <c r="J55" s="349">
        <f>IF(Zuw_Ausgaben[[#This Row],[I]]&lt;&gt;"",ROUND(Zuw_Ausgaben[[#This Row],[H]]+Zuw_Ausgaben[[#This Row],[H]]*Zuw_Ausgaben[[#This Row],[I]]*$J$7,-3),Zuw_Ausgaben[[#This Row],[H]])</f>
        <v>0</v>
      </c>
      <c r="K55" s="350">
        <f>Zuw_Ausgaben[[#This Row],[J]]-Zuw_Ausgaben[[#This Row],[Z]]</f>
        <v>0</v>
      </c>
      <c r="L55" s="292"/>
      <c r="M55" s="172"/>
      <c r="N55" s="172"/>
      <c r="O55" s="172"/>
      <c r="P55" s="172"/>
      <c r="Q55" s="172"/>
      <c r="R55" s="172"/>
      <c r="S55" s="172"/>
      <c r="T55" s="172"/>
      <c r="U55" s="172"/>
      <c r="V55" s="172"/>
      <c r="W55" s="172"/>
      <c r="X55" s="172"/>
      <c r="Y55" s="172"/>
      <c r="Z55" s="66">
        <f>SUM(Zuw_Ausgaben[[#This Row],[L]:[Y]])</f>
        <v>0</v>
      </c>
      <c r="AA55" s="343" t="str">
        <f>IF(Zuw_Ausgaben[[#This Row],[Z]]-Zuw_Ausgaben[[#This Row],[H]]&lt;&gt;0,Zuw_Ausgaben[[#This Row],[Z]]-Zuw_Ausgaben[[#This Row],[H]],"")</f>
        <v/>
      </c>
      <c r="AB55" s="344" t="str">
        <f>IF(Zuw_Ausgaben[[#This Row],[AA]]&lt;&gt;"",IFERROR(Zuw_Ausgaben[[#This Row],[AA]]/Zuw_Ausgaben[[#This Row],[H]],""),"")</f>
        <v/>
      </c>
      <c r="AC55" s="344" t="str">
        <f>IFERROR(IF(Zuw_Ausgaben[[#This Row],[AB]]&lt;&gt;"",Zuw_Ausgaben[[#This Row],[AB]]/Zuw_Ausgaben[[#This Row],[I]],""),Zuw_Ausgaben[[#This Row],[AB]])</f>
        <v/>
      </c>
    </row>
    <row r="56" spans="1:29" s="2" customFormat="1">
      <c r="A56" s="341">
        <v>48</v>
      </c>
      <c r="B56" s="170"/>
      <c r="C56" s="296"/>
      <c r="D56" s="297"/>
      <c r="E56" s="171"/>
      <c r="F56" s="171"/>
      <c r="G56" s="298"/>
      <c r="H56" s="290"/>
      <c r="I56" s="339" t="str">
        <f>IF(YEAR(Zuw_Ausgaben[[#This Row],[E]])&gt;YEAR($H$7),YEAR(Zuw_Ausgaben[[#This Row],[E]])-YEAR($H$7),"")</f>
        <v/>
      </c>
      <c r="J56" s="349">
        <f>IF(Zuw_Ausgaben[[#This Row],[I]]&lt;&gt;"",ROUND(Zuw_Ausgaben[[#This Row],[H]]+Zuw_Ausgaben[[#This Row],[H]]*Zuw_Ausgaben[[#This Row],[I]]*$J$7,-3),Zuw_Ausgaben[[#This Row],[H]])</f>
        <v>0</v>
      </c>
      <c r="K56" s="350">
        <f>Zuw_Ausgaben[[#This Row],[J]]-Zuw_Ausgaben[[#This Row],[Z]]</f>
        <v>0</v>
      </c>
      <c r="L56" s="292"/>
      <c r="M56" s="172"/>
      <c r="N56" s="172"/>
      <c r="O56" s="172"/>
      <c r="P56" s="172"/>
      <c r="Q56" s="172"/>
      <c r="R56" s="172"/>
      <c r="S56" s="172"/>
      <c r="T56" s="172"/>
      <c r="U56" s="172"/>
      <c r="V56" s="172"/>
      <c r="W56" s="172"/>
      <c r="X56" s="172"/>
      <c r="Y56" s="172"/>
      <c r="Z56" s="66">
        <f>SUM(Zuw_Ausgaben[[#This Row],[L]:[Y]])</f>
        <v>0</v>
      </c>
      <c r="AA56" s="343" t="str">
        <f>IF(Zuw_Ausgaben[[#This Row],[Z]]-Zuw_Ausgaben[[#This Row],[H]]&lt;&gt;0,Zuw_Ausgaben[[#This Row],[Z]]-Zuw_Ausgaben[[#This Row],[H]],"")</f>
        <v/>
      </c>
      <c r="AB56" s="344" t="str">
        <f>IF(Zuw_Ausgaben[[#This Row],[AA]]&lt;&gt;"",IFERROR(Zuw_Ausgaben[[#This Row],[AA]]/Zuw_Ausgaben[[#This Row],[H]],""),"")</f>
        <v/>
      </c>
      <c r="AC56" s="344" t="str">
        <f>IFERROR(IF(Zuw_Ausgaben[[#This Row],[AB]]&lt;&gt;"",Zuw_Ausgaben[[#This Row],[AB]]/Zuw_Ausgaben[[#This Row],[I]],""),Zuw_Ausgaben[[#This Row],[AB]])</f>
        <v/>
      </c>
    </row>
    <row r="57" spans="1:29" s="2" customFormat="1">
      <c r="A57" s="341">
        <v>49</v>
      </c>
      <c r="B57" s="170"/>
      <c r="C57" s="296"/>
      <c r="D57" s="297"/>
      <c r="E57" s="171"/>
      <c r="F57" s="171"/>
      <c r="G57" s="298"/>
      <c r="H57" s="290"/>
      <c r="I57" s="339" t="str">
        <f>IF(YEAR(Zuw_Ausgaben[[#This Row],[E]])&gt;YEAR($H$7),YEAR(Zuw_Ausgaben[[#This Row],[E]])-YEAR($H$7),"")</f>
        <v/>
      </c>
      <c r="J57" s="349">
        <f>IF(Zuw_Ausgaben[[#This Row],[I]]&lt;&gt;"",ROUND(Zuw_Ausgaben[[#This Row],[H]]+Zuw_Ausgaben[[#This Row],[H]]*Zuw_Ausgaben[[#This Row],[I]]*$J$7,-3),Zuw_Ausgaben[[#This Row],[H]])</f>
        <v>0</v>
      </c>
      <c r="K57" s="350">
        <f>Zuw_Ausgaben[[#This Row],[J]]-Zuw_Ausgaben[[#This Row],[Z]]</f>
        <v>0</v>
      </c>
      <c r="L57" s="292"/>
      <c r="M57" s="172"/>
      <c r="N57" s="172"/>
      <c r="O57" s="172"/>
      <c r="P57" s="172"/>
      <c r="Q57" s="172"/>
      <c r="R57" s="172"/>
      <c r="S57" s="172"/>
      <c r="T57" s="172"/>
      <c r="U57" s="172"/>
      <c r="V57" s="172"/>
      <c r="W57" s="172"/>
      <c r="X57" s="172"/>
      <c r="Y57" s="172"/>
      <c r="Z57" s="66">
        <f>SUM(Zuw_Ausgaben[[#This Row],[L]:[Y]])</f>
        <v>0</v>
      </c>
      <c r="AA57" s="343" t="str">
        <f>IF(Zuw_Ausgaben[[#This Row],[Z]]-Zuw_Ausgaben[[#This Row],[H]]&lt;&gt;0,Zuw_Ausgaben[[#This Row],[Z]]-Zuw_Ausgaben[[#This Row],[H]],"")</f>
        <v/>
      </c>
      <c r="AB57" s="344" t="str">
        <f>IF(Zuw_Ausgaben[[#This Row],[AA]]&lt;&gt;"",IFERROR(Zuw_Ausgaben[[#This Row],[AA]]/Zuw_Ausgaben[[#This Row],[H]],""),"")</f>
        <v/>
      </c>
      <c r="AC57" s="344" t="str">
        <f>IFERROR(IF(Zuw_Ausgaben[[#This Row],[AB]]&lt;&gt;"",Zuw_Ausgaben[[#This Row],[AB]]/Zuw_Ausgaben[[#This Row],[I]],""),Zuw_Ausgaben[[#This Row],[AB]])</f>
        <v/>
      </c>
    </row>
    <row r="58" spans="1:29" s="2" customFormat="1" ht="15.75" thickBot="1">
      <c r="A58" s="342">
        <v>50</v>
      </c>
      <c r="B58" s="306"/>
      <c r="C58" s="307"/>
      <c r="D58" s="308"/>
      <c r="E58" s="309"/>
      <c r="F58" s="309"/>
      <c r="G58" s="310"/>
      <c r="H58" s="311"/>
      <c r="I58" s="340" t="str">
        <f>IF(YEAR(Zuw_Ausgaben[[#This Row],[E]])&gt;YEAR($H$7),YEAR(Zuw_Ausgaben[[#This Row],[E]])-YEAR($H$7),"")</f>
        <v/>
      </c>
      <c r="J58" s="351">
        <f>IF(Zuw_Ausgaben[[#This Row],[I]]&lt;&gt;"",ROUND(Zuw_Ausgaben[[#This Row],[H]]+Zuw_Ausgaben[[#This Row],[H]]*Zuw_Ausgaben[[#This Row],[I]]*$J$7,-3),Zuw_Ausgaben[[#This Row],[H]])</f>
        <v>0</v>
      </c>
      <c r="K58" s="352">
        <f>Zuw_Ausgaben[[#This Row],[J]]-Zuw_Ausgaben[[#This Row],[Z]]</f>
        <v>0</v>
      </c>
      <c r="L58" s="312"/>
      <c r="M58" s="313"/>
      <c r="N58" s="313"/>
      <c r="O58" s="313"/>
      <c r="P58" s="313"/>
      <c r="Q58" s="313"/>
      <c r="R58" s="313"/>
      <c r="S58" s="313"/>
      <c r="T58" s="313"/>
      <c r="U58" s="313"/>
      <c r="V58" s="313"/>
      <c r="W58" s="313"/>
      <c r="X58" s="313"/>
      <c r="Y58" s="313"/>
      <c r="Z58" s="161">
        <f>SUM(Zuw_Ausgaben[[#This Row],[L]:[Y]])</f>
        <v>0</v>
      </c>
      <c r="AA58" s="345" t="str">
        <f>IF(Zuw_Ausgaben[[#This Row],[Z]]-Zuw_Ausgaben[[#This Row],[H]]&lt;&gt;0,Zuw_Ausgaben[[#This Row],[Z]]-Zuw_Ausgaben[[#This Row],[H]],"")</f>
        <v/>
      </c>
      <c r="AB58" s="346" t="str">
        <f>IF(Zuw_Ausgaben[[#This Row],[AA]]&lt;&gt;"",IFERROR(Zuw_Ausgaben[[#This Row],[AA]]/Zuw_Ausgaben[[#This Row],[H]],""),"")</f>
        <v/>
      </c>
      <c r="AC58" s="346" t="str">
        <f>IFERROR(IF(Zuw_Ausgaben[[#This Row],[AB]]&lt;&gt;"",Zuw_Ausgaben[[#This Row],[AB]]/Zuw_Ausgaben[[#This Row],[I]],""),Zuw_Ausgaben[[#This Row],[AB]])</f>
        <v/>
      </c>
    </row>
    <row r="59" spans="1:29">
      <c r="A59" s="314" t="s">
        <v>83</v>
      </c>
      <c r="B59" s="314"/>
      <c r="C59" s="314"/>
      <c r="D59" s="314"/>
      <c r="E59" s="314"/>
      <c r="F59" s="314"/>
      <c r="G59" s="314"/>
      <c r="H59" s="299">
        <f>SUBTOTAL(109,Zuw_Ausgaben[H])</f>
        <v>0</v>
      </c>
      <c r="I59" s="391"/>
      <c r="J59" s="353">
        <f>SUBTOTAL(109,Zuw_Ausgaben[J])</f>
        <v>0</v>
      </c>
      <c r="K59" s="354">
        <f>SUBTOTAL(109,Zuw_Ausgaben[K])</f>
        <v>0</v>
      </c>
      <c r="L59" s="315">
        <f>SUBTOTAL(109,Zuw_Ausgaben[L])</f>
        <v>0</v>
      </c>
      <c r="M59" s="300">
        <f>SUBTOTAL(109,Zuw_Ausgaben[M])</f>
        <v>0</v>
      </c>
      <c r="N59" s="300">
        <f>SUBTOTAL(109,Zuw_Ausgaben[N])</f>
        <v>0</v>
      </c>
      <c r="O59" s="300">
        <f>SUBTOTAL(109,Zuw_Ausgaben[O])</f>
        <v>0</v>
      </c>
      <c r="P59" s="300">
        <f>SUBTOTAL(109,Zuw_Ausgaben[P])</f>
        <v>0</v>
      </c>
      <c r="Q59" s="300">
        <f>SUBTOTAL(109,Zuw_Ausgaben[Q])</f>
        <v>0</v>
      </c>
      <c r="R59" s="300">
        <f>SUBTOTAL(109,Zuw_Ausgaben[R])</f>
        <v>0</v>
      </c>
      <c r="S59" s="300">
        <f>SUBTOTAL(109,Zuw_Ausgaben[S])</f>
        <v>0</v>
      </c>
      <c r="T59" s="300">
        <f>SUBTOTAL(109,Zuw_Ausgaben[T])</f>
        <v>0</v>
      </c>
      <c r="U59" s="300">
        <f>SUBTOTAL(109,Zuw_Ausgaben[U])</f>
        <v>0</v>
      </c>
      <c r="V59" s="300">
        <f>SUBTOTAL(109,Zuw_Ausgaben[V])</f>
        <v>0</v>
      </c>
      <c r="W59" s="300">
        <f>SUBTOTAL(109,Zuw_Ausgaben[W])</f>
        <v>0</v>
      </c>
      <c r="X59" s="300">
        <f>SUBTOTAL(109,Zuw_Ausgaben[X])</f>
        <v>0</v>
      </c>
      <c r="Y59" s="300">
        <f>SUBTOTAL(109,Zuw_Ausgaben[Y])</f>
        <v>0</v>
      </c>
      <c r="Z59" s="316">
        <f>SUBTOTAL(109,Zuw_Ausgaben[Z])</f>
        <v>0</v>
      </c>
      <c r="AA59" s="347">
        <f>SUBTOTAL(109,Zuw_Ausgaben[AA])</f>
        <v>0</v>
      </c>
      <c r="AB59" s="348" t="e">
        <f>Zuw_Ausgaben[[#Totals],[AA]]/Zuw_Ausgaben[[#Totals],[H]]</f>
        <v>#DIV/0!</v>
      </c>
      <c r="AC59" s="348" t="e">
        <f>SUBTOTAL(101,Zuw_Ausgaben[AC])</f>
        <v>#DIV/0!</v>
      </c>
    </row>
  </sheetData>
  <sheetProtection password="8640" sheet="1" formatColumns="0" autoFilter="0"/>
  <mergeCells count="10">
    <mergeCell ref="A6:A7"/>
    <mergeCell ref="B6:B7"/>
    <mergeCell ref="C6:C7"/>
    <mergeCell ref="Z6:Z7"/>
    <mergeCell ref="AA6:AA7"/>
    <mergeCell ref="D6:D7"/>
    <mergeCell ref="E6:E7"/>
    <mergeCell ref="F6:F7"/>
    <mergeCell ref="G6:G7"/>
    <mergeCell ref="I6:I7"/>
  </mergeCells>
  <conditionalFormatting sqref="D9:D58">
    <cfRule type="dataBar" priority="4">
      <dataBar>
        <cfvo type="num" val="0"/>
        <cfvo type="num" val="9"/>
        <color theme="9"/>
      </dataBar>
      <extLst>
        <ext xmlns:x14="http://schemas.microsoft.com/office/spreadsheetml/2009/9/main" uri="{B025F937-C7B1-47D3-B67F-A62EFF666E3E}">
          <x14:id>{FA3C9331-7D07-4600-9324-96F5CF1FA277}</x14:id>
        </ext>
      </extLst>
    </cfRule>
  </conditionalFormatting>
  <dataValidations count="4">
    <dataValidation allowBlank="1" showInputMessage="1" showErrorMessage="1" promptTitle="Übernommen von Startseite" prompt="Aktueller Preisindex lt. Programmaufruf des MHKBD zum Erstantrag bzw. 1. Folgeantrag." sqref="J7" xr:uid="{00000000-0002-0000-0100-000000000000}"/>
    <dataValidation allowBlank="1" showInputMessage="1" showErrorMessage="1" promptTitle="Übernommen von Startseite" prompt="Datum des Erstantrages bzw. 1. Folgeantrags. _x000a_Ausgangsbasis der Kostenkalkulationen. " sqref="H7" xr:uid="{00000000-0002-0000-0100-000001000000}"/>
    <dataValidation type="date" operator="greaterThan" allowBlank="1" showInputMessage="1" showErrorMessage="1" errorTitle="Fehler im Datum" error="Datumseingaben größer als 2029 ohne die vorlaufende 20 (z.B. 5/30) werden als 19xx interbretiert. Bitte ab 2030 jeweils das ganze Jahr eingeben." sqref="E9:G58" xr:uid="{00000000-0002-0000-0100-000002000000}">
      <formula1>44562</formula1>
    </dataValidation>
    <dataValidation allowBlank="1" showInputMessage="1" showErrorMessage="1" promptTitle="Planungs- bzw. Umsetzungsstand" prompt="Eingabe der Leistungsphase, die abgeschlossen ist._x000a_Mit einem Mausklick auf die Überschrift gelangen Sie zur Übersicht über die Leistungsphasen." sqref="D9:D58" xr:uid="{00000000-0002-0000-0100-000003000000}"/>
  </dataValidations>
  <hyperlinks>
    <hyperlink ref="J1" location="Start!A1" display="Start" xr:uid="{00000000-0004-0000-0100-000000000000}"/>
    <hyperlink ref="L1" location="'weitere Ausgaben'!A1" display="weit. Ausgaben" xr:uid="{00000000-0004-0000-0100-000001000000}"/>
    <hyperlink ref="N1" location="Bewilligungen!A1" display="Bewilligungen" xr:uid="{00000000-0004-0000-0100-000002000000}"/>
    <hyperlink ref="M1" location="Einnahmen!A1" display="Einnahmen" xr:uid="{00000000-0004-0000-0100-000003000000}"/>
    <hyperlink ref="O1" location="Förderantrag!A1" display="Förderantrag" xr:uid="{00000000-0004-0000-0100-000004000000}"/>
    <hyperlink ref="P1" location="'KuF Zusammenfassung'!A1" display="KuF Zus." xr:uid="{00000000-0004-0000-0100-000005000000}"/>
    <hyperlink ref="C6:C7" location="Fördertatbestände!A1" display="Fördertatbestände!A1" xr:uid="{00000000-0004-0000-0100-000006000000}"/>
    <hyperlink ref="D6:D7" location="Umsetzungsphasen!A1" display="Umsetzungsphasen!A1" xr:uid="{00000000-0004-0000-0100-000007000000}"/>
  </hyperlinks>
  <pageMargins left="0.70866141732283472" right="0.70866141732283472" top="0.78740157480314965" bottom="0.78740157480314965" header="0.31496062992125984" footer="0.31496062992125984"/>
  <pageSetup paperSize="8" scale="56"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FA3C9331-7D07-4600-9324-96F5CF1FA277}">
            <x14:dataBar minLength="0" maxLength="100" gradient="0">
              <x14:cfvo type="num">
                <xm:f>0</xm:f>
              </x14:cfvo>
              <x14:cfvo type="num">
                <xm:f>9</xm:f>
              </x14:cfvo>
              <x14:negativeFillColor rgb="FFFF0000"/>
              <x14:axisColor rgb="FF000000"/>
            </x14:dataBar>
          </x14:cfRule>
          <xm:sqref>D9:D58</xm:sqref>
        </x14:conditionalFormatting>
        <x14:conditionalFormatting xmlns:xm="http://schemas.microsoft.com/office/excel/2006/main">
          <x14:cfRule type="expression" priority="2" id="{BE6E0F26-2A4A-45BD-A00F-CD1ED95DC864}">
            <xm:f>OR(Start!$B$3="Sachbericht",Start!$B$3="Fortsetzungsantrag")</xm:f>
            <x14:dxf>
              <font>
                <color theme="0" tint="-0.14996795556505021"/>
              </font>
              <fill>
                <patternFill>
                  <bgColor theme="0" tint="-0.14996795556505021"/>
                </patternFill>
              </fill>
            </x14:dxf>
          </x14:cfRule>
          <xm:sqref>J9:K59</xm:sqref>
        </x14:conditionalFormatting>
        <x14:conditionalFormatting xmlns:xm="http://schemas.microsoft.com/office/excel/2006/main">
          <x14:cfRule type="expression" priority="1" id="{AA7FA221-154F-4149-A900-FB4789BC0247}">
            <xm:f>OR(Start!$B$3="Sachbericht",Start!$B$3="Fortsetzungsantrag")</xm:f>
            <x14:dxf>
              <fill>
                <patternFill>
                  <bgColor theme="0" tint="-0.14996795556505021"/>
                </patternFill>
              </fill>
            </x14:dxf>
          </x14:cfRule>
          <xm:sqref>H9:H59</xm:sqref>
        </x14:conditionalFormatting>
        <x14:conditionalFormatting xmlns:xm="http://schemas.microsoft.com/office/excel/2006/main">
          <x14:cfRule type="expression" priority="3" id="{029C2DF4-5FD0-4F33-BB5B-AFED8766FC05}">
            <xm:f>L$7=Start!$B$11</xm:f>
            <x14:dxf>
              <fill>
                <patternFill>
                  <bgColor theme="7" tint="0.79998168889431442"/>
                </patternFill>
              </fill>
            </x14:dxf>
          </x14:cfRule>
          <xm:sqref>L9:Y59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Ziffer der Förderrichtlinie" prompt="Wählen Sie den Förderzugang über das Drop-Down-Menu._x000a_Mit einem Mausklick auf die Überschrift gelangen Sie zur Übersicht über die Förderziffern." xr:uid="{00000000-0002-0000-0100-000004000000}">
          <x14:formula1>
            <xm:f>Fördertatbestände!$A$2:$A$22</xm:f>
          </x14:formula1>
          <xm:sqref>C9:C58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R48"/>
  <sheetViews>
    <sheetView showGridLines="0" workbookViewId="0" xr3:uid="{842E5F09-E766-5B8D-85AF-A39847EA96FD}">
      <pane ySplit="2" topLeftCell="A3" activePane="bottomLeft" state="frozen"/>
      <selection pane="bottomLeft" activeCell="B8" sqref="B8"/>
    </sheetView>
  </sheetViews>
  <sheetFormatPr defaultColWidth="11.5703125" defaultRowHeight="15"/>
  <cols>
    <col min="1" max="1" width="6.5703125" style="2" customWidth="1"/>
    <col min="2" max="2" width="57.5703125" style="2" customWidth="1"/>
    <col min="3" max="3" width="7.42578125" style="2" customWidth="1"/>
    <col min="4" max="14" width="13.42578125" style="2" customWidth="1"/>
    <col min="15" max="17" width="13.42578125" style="2" hidden="1" customWidth="1"/>
    <col min="18" max="18" width="13.42578125" style="2" customWidth="1"/>
    <col min="19" max="16384" width="11.5703125" style="2"/>
  </cols>
  <sheetData>
    <row r="1" spans="1:18" customFormat="1" ht="22.9" customHeight="1">
      <c r="A1" s="286" t="str">
        <f>CONCATENATE("Anlass der Kosten- und Finanzierungsübersicht: ",Start!$B$3," zum ",Start!$B$12 )</f>
        <v>Anlass der Kosten- und Finanzierungsübersicht: Erstantrag zum 31.01.</v>
      </c>
      <c r="B1" s="286"/>
      <c r="C1" s="286"/>
      <c r="D1" s="287"/>
      <c r="E1" s="286"/>
      <c r="F1" s="286"/>
      <c r="G1" s="332" t="s">
        <v>26</v>
      </c>
      <c r="H1" s="452" t="s">
        <v>27</v>
      </c>
      <c r="I1" s="331" t="s">
        <v>28</v>
      </c>
      <c r="J1" s="332" t="s">
        <v>29</v>
      </c>
      <c r="K1" s="332" t="s">
        <v>30</v>
      </c>
      <c r="L1" s="332" t="s">
        <v>31</v>
      </c>
      <c r="M1" s="332" t="s">
        <v>32</v>
      </c>
    </row>
    <row r="2" spans="1:18" customFormat="1">
      <c r="A2" s="318" t="str">
        <f>IF(Start!B3="Erstantrag","Füllen Sie je Einzelfall in den entsprechenden Tabellen die Spalten B - N aus.","Überprüfen und aktualisieren Sie die Daten in den Spalten B - N.")</f>
        <v>Füllen Sie je Einzelfall in den entsprechenden Tabellen die Spalten B - N aus.</v>
      </c>
      <c r="B2" s="317"/>
      <c r="J2" s="2"/>
    </row>
    <row r="3" spans="1:18" ht="22.9" customHeight="1">
      <c r="B3" s="374" t="str">
        <f>IF(SUM(weitere_Ausgaben[R])&lt;&gt;weitere_Ausgaben[[#Totals],[R]],"Achtung: Es wurden Teilmaßnahmen mit Ausgaben ausgeblendet!","")</f>
        <v/>
      </c>
    </row>
    <row r="4" spans="1:18" ht="25.15" customHeight="1">
      <c r="A4" s="99" t="s">
        <v>84</v>
      </c>
    </row>
    <row r="5" spans="1:18" ht="30.6" customHeight="1">
      <c r="A5" s="155" t="s">
        <v>85</v>
      </c>
      <c r="B5" s="156" t="s">
        <v>86</v>
      </c>
      <c r="C5" s="157" t="s">
        <v>87</v>
      </c>
      <c r="D5" s="256" t="s">
        <v>47</v>
      </c>
      <c r="E5" s="257" t="str">
        <f>IF(E6&lt;Start!$B$11,"Ist Ausgaben"&amp;CHAR(10)&amp;"€","Planung"&amp;CHAR(10)&amp;"€")</f>
        <v>Planung
€</v>
      </c>
      <c r="F5" s="257" t="str">
        <f>IF(F6&lt;Start!$B$11,"Ist Ausgaben"&amp;CHAR(10)&amp;"€","Planung"&amp;CHAR(10)&amp;"€")</f>
        <v>Planung
€</v>
      </c>
      <c r="G5" s="257" t="str">
        <f>IF(G6&lt;Start!$B$11,"Ist Ausgaben"&amp;CHAR(10)&amp;"€","Planung"&amp;CHAR(10)&amp;"€")</f>
        <v>Planung
€</v>
      </c>
      <c r="H5" s="257" t="str">
        <f>IF(H6&lt;Start!$B$11,"Ist Ausgaben"&amp;CHAR(10)&amp;"€","Planung"&amp;CHAR(10)&amp;"€")</f>
        <v>Planung
€</v>
      </c>
      <c r="I5" s="257" t="str">
        <f>IF(I6&lt;Start!$B$11,"Ist Ausgaben"&amp;CHAR(10)&amp;"€","Planung"&amp;CHAR(10)&amp;"€")</f>
        <v>Planung
€</v>
      </c>
      <c r="J5" s="257" t="str">
        <f>IF(J6&lt;Start!$B$11,"Ist Ausgaben"&amp;CHAR(10)&amp;"€","Planung"&amp;CHAR(10)&amp;"€")</f>
        <v>Planung
€</v>
      </c>
      <c r="K5" s="257" t="str">
        <f>IF(K6&lt;Start!$B$11,"Ist Ausgaben"&amp;CHAR(10)&amp;"€","Planung"&amp;CHAR(10)&amp;"€")</f>
        <v>Planung
€</v>
      </c>
      <c r="L5" s="257" t="str">
        <f>IF(L6&lt;Start!$B$11,"Ist Ausgaben"&amp;CHAR(10)&amp;"€","Planung"&amp;CHAR(10)&amp;"€")</f>
        <v>Planung
€</v>
      </c>
      <c r="M5" s="257" t="str">
        <f>IF(M6&lt;Start!$B$11,"Ist Ausgaben"&amp;CHAR(10)&amp;"€","Planung"&amp;CHAR(10)&amp;"€")</f>
        <v>Planung
€</v>
      </c>
      <c r="N5" s="257" t="str">
        <f>IF(N6&lt;Start!$B$11,"Ist Ausgaben"&amp;CHAR(10)&amp;"€","Planung"&amp;CHAR(10)&amp;"€")</f>
        <v>Planung
€</v>
      </c>
      <c r="O5" s="384" t="str">
        <f>IF(O6&lt;Start!$B$11,"Ist Ausgaben"&amp;CHAR(10)&amp;"€","Planung"&amp;CHAR(10)&amp;"€")</f>
        <v>Planung
€</v>
      </c>
      <c r="P5" s="384" t="str">
        <f>IF(P6&lt;Start!$B$11,"Ist Ausgaben"&amp;CHAR(10)&amp;"€","Planung"&amp;CHAR(10)&amp;"€")</f>
        <v>Planung
€</v>
      </c>
      <c r="Q5" s="385" t="str">
        <f>IF(Q6&lt;Start!$B$11,"Ist Ausgaben"&amp;CHAR(10)&amp;"€","Planung"&amp;CHAR(10)&amp;"€")</f>
        <v>Planung
€</v>
      </c>
      <c r="R5" s="151" t="s">
        <v>48</v>
      </c>
    </row>
    <row r="6" spans="1:18">
      <c r="A6" s="158"/>
      <c r="B6" s="159"/>
      <c r="C6" s="160"/>
      <c r="D6" s="230">
        <f>IF(Start!$B$22="",Start!$B$11-1,YEAR(Start!$B$22)-1)</f>
        <v>-1</v>
      </c>
      <c r="E6" s="231">
        <f>D6+1</f>
        <v>0</v>
      </c>
      <c r="F6" s="231">
        <f t="shared" ref="F6" si="0">E6+1</f>
        <v>1</v>
      </c>
      <c r="G6" s="231">
        <f t="shared" ref="G6" si="1">F6+1</f>
        <v>2</v>
      </c>
      <c r="H6" s="231">
        <f t="shared" ref="H6" si="2">G6+1</f>
        <v>3</v>
      </c>
      <c r="I6" s="231">
        <f t="shared" ref="I6" si="3">H6+1</f>
        <v>4</v>
      </c>
      <c r="J6" s="231">
        <f t="shared" ref="J6" si="4">I6+1</f>
        <v>5</v>
      </c>
      <c r="K6" s="231">
        <f t="shared" ref="K6" si="5">J6+1</f>
        <v>6</v>
      </c>
      <c r="L6" s="231">
        <f t="shared" ref="L6" si="6">K6+1</f>
        <v>7</v>
      </c>
      <c r="M6" s="231">
        <f t="shared" ref="M6" si="7">L6+1</f>
        <v>8</v>
      </c>
      <c r="N6" s="231">
        <f t="shared" ref="N6" si="8">M6+1</f>
        <v>9</v>
      </c>
      <c r="O6" s="386">
        <f t="shared" ref="O6" si="9">N6+1</f>
        <v>10</v>
      </c>
      <c r="P6" s="386">
        <f t="shared" ref="P6" si="10">O6+1</f>
        <v>11</v>
      </c>
      <c r="Q6" s="387">
        <f t="shared" ref="Q6" si="11">P6+1</f>
        <v>12</v>
      </c>
      <c r="R6" s="173"/>
    </row>
    <row r="7" spans="1:18">
      <c r="A7" s="4" t="s">
        <v>54</v>
      </c>
      <c r="B7" s="5" t="s">
        <v>55</v>
      </c>
      <c r="C7" s="5" t="s">
        <v>56</v>
      </c>
      <c r="D7" s="232" t="s">
        <v>57</v>
      </c>
      <c r="E7" s="233" t="s">
        <v>58</v>
      </c>
      <c r="F7" s="233" t="s">
        <v>59</v>
      </c>
      <c r="G7" s="233" t="s">
        <v>60</v>
      </c>
      <c r="H7" s="233" t="s">
        <v>61</v>
      </c>
      <c r="I7" s="233" t="s">
        <v>62</v>
      </c>
      <c r="J7" s="233" t="s">
        <v>63</v>
      </c>
      <c r="K7" s="233" t="s">
        <v>64</v>
      </c>
      <c r="L7" s="233" t="s">
        <v>65</v>
      </c>
      <c r="M7" s="233" t="s">
        <v>66</v>
      </c>
      <c r="N7" s="233" t="s">
        <v>67</v>
      </c>
      <c r="O7" s="233" t="s">
        <v>68</v>
      </c>
      <c r="P7" s="233" t="s">
        <v>69</v>
      </c>
      <c r="Q7" s="234" t="s">
        <v>70</v>
      </c>
      <c r="R7" s="3" t="s">
        <v>71</v>
      </c>
    </row>
    <row r="8" spans="1:18" ht="15.75">
      <c r="A8" s="395">
        <v>1</v>
      </c>
      <c r="B8" s="165"/>
      <c r="C8" s="167"/>
      <c r="D8" s="198"/>
      <c r="E8" s="200"/>
      <c r="F8" s="200"/>
      <c r="G8" s="200"/>
      <c r="H8" s="200"/>
      <c r="I8" s="200"/>
      <c r="J8" s="200"/>
      <c r="K8" s="531"/>
      <c r="L8" s="531"/>
      <c r="M8" s="531"/>
      <c r="N8" s="531"/>
      <c r="O8" s="532"/>
      <c r="P8" s="532"/>
      <c r="Q8" s="533"/>
      <c r="R8" s="162">
        <f>SUM(weitere_Ausgaben[[#This Row],[D]:[Q]])</f>
        <v>0</v>
      </c>
    </row>
    <row r="9" spans="1:18" ht="15.75">
      <c r="A9" s="395">
        <v>2</v>
      </c>
      <c r="B9" s="166"/>
      <c r="C9" s="168"/>
      <c r="D9" s="201"/>
      <c r="E9" s="199"/>
      <c r="F9" s="199"/>
      <c r="G9" s="199"/>
      <c r="H9" s="199"/>
      <c r="I9" s="199"/>
      <c r="J9" s="199"/>
      <c r="K9" s="534"/>
      <c r="L9" s="534"/>
      <c r="M9" s="534"/>
      <c r="N9" s="534"/>
      <c r="O9" s="535"/>
      <c r="P9" s="535"/>
      <c r="Q9" s="536"/>
      <c r="R9" s="66">
        <f>SUM(weitere_Ausgaben[[#This Row],[D]:[Q]])</f>
        <v>0</v>
      </c>
    </row>
    <row r="10" spans="1:18" ht="15.75">
      <c r="A10" s="395">
        <v>3</v>
      </c>
      <c r="B10" s="166"/>
      <c r="C10" s="168"/>
      <c r="D10" s="201"/>
      <c r="E10" s="199"/>
      <c r="F10" s="199"/>
      <c r="G10" s="199"/>
      <c r="H10" s="199"/>
      <c r="I10" s="199"/>
      <c r="J10" s="199"/>
      <c r="K10" s="534"/>
      <c r="L10" s="534"/>
      <c r="M10" s="534"/>
      <c r="N10" s="534"/>
      <c r="O10" s="535"/>
      <c r="P10" s="535"/>
      <c r="Q10" s="536"/>
      <c r="R10" s="66">
        <f>SUM(weitere_Ausgaben[[#This Row],[D]:[Q]])</f>
        <v>0</v>
      </c>
    </row>
    <row r="11" spans="1:18" ht="15.75">
      <c r="A11" s="395">
        <v>4</v>
      </c>
      <c r="B11" s="166"/>
      <c r="C11" s="168"/>
      <c r="D11" s="201"/>
      <c r="E11" s="199"/>
      <c r="F11" s="199"/>
      <c r="G11" s="199"/>
      <c r="H11" s="199"/>
      <c r="I11" s="199"/>
      <c r="J11" s="199"/>
      <c r="K11" s="534"/>
      <c r="L11" s="534"/>
      <c r="M11" s="534"/>
      <c r="N11" s="534"/>
      <c r="O11" s="535"/>
      <c r="P11" s="535"/>
      <c r="Q11" s="536"/>
      <c r="R11" s="66">
        <f>SUM(weitere_Ausgaben[[#This Row],[D]:[Q]])</f>
        <v>0</v>
      </c>
    </row>
    <row r="12" spans="1:18" ht="15.75">
      <c r="A12" s="395">
        <v>5</v>
      </c>
      <c r="B12" s="166"/>
      <c r="C12" s="168"/>
      <c r="D12" s="201"/>
      <c r="E12" s="199"/>
      <c r="F12" s="199"/>
      <c r="G12" s="199"/>
      <c r="H12" s="199"/>
      <c r="I12" s="199"/>
      <c r="J12" s="199"/>
      <c r="K12" s="534"/>
      <c r="L12" s="534"/>
      <c r="M12" s="534"/>
      <c r="N12" s="534"/>
      <c r="O12" s="535"/>
      <c r="P12" s="535"/>
      <c r="Q12" s="536"/>
      <c r="R12" s="66">
        <f>SUM(weitere_Ausgaben[[#This Row],[D]:[Q]])</f>
        <v>0</v>
      </c>
    </row>
    <row r="13" spans="1:18" ht="15.75">
      <c r="A13" s="395">
        <v>6</v>
      </c>
      <c r="B13" s="166"/>
      <c r="C13" s="168"/>
      <c r="D13" s="201"/>
      <c r="E13" s="199"/>
      <c r="F13" s="199"/>
      <c r="G13" s="199"/>
      <c r="H13" s="199"/>
      <c r="I13" s="199"/>
      <c r="J13" s="199"/>
      <c r="K13" s="534"/>
      <c r="L13" s="534"/>
      <c r="M13" s="534"/>
      <c r="N13" s="534"/>
      <c r="O13" s="535"/>
      <c r="P13" s="535"/>
      <c r="Q13" s="536"/>
      <c r="R13" s="66">
        <f>SUM(weitere_Ausgaben[[#This Row],[D]:[Q]])</f>
        <v>0</v>
      </c>
    </row>
    <row r="14" spans="1:18" ht="15.75">
      <c r="A14" s="395">
        <v>7</v>
      </c>
      <c r="B14" s="166"/>
      <c r="C14" s="168"/>
      <c r="D14" s="201"/>
      <c r="E14" s="199"/>
      <c r="F14" s="199"/>
      <c r="G14" s="199"/>
      <c r="H14" s="199"/>
      <c r="I14" s="199"/>
      <c r="J14" s="199"/>
      <c r="K14" s="534"/>
      <c r="L14" s="534"/>
      <c r="M14" s="534"/>
      <c r="N14" s="534"/>
      <c r="O14" s="535"/>
      <c r="P14" s="535"/>
      <c r="Q14" s="536"/>
      <c r="R14" s="66">
        <f>SUM(weitere_Ausgaben[[#This Row],[D]:[Q]])</f>
        <v>0</v>
      </c>
    </row>
    <row r="15" spans="1:18" ht="15.75">
      <c r="A15" s="395">
        <v>8</v>
      </c>
      <c r="B15" s="166"/>
      <c r="C15" s="168"/>
      <c r="D15" s="201"/>
      <c r="E15" s="199"/>
      <c r="F15" s="199"/>
      <c r="G15" s="199"/>
      <c r="H15" s="199"/>
      <c r="I15" s="199"/>
      <c r="J15" s="199"/>
      <c r="K15" s="534"/>
      <c r="L15" s="534"/>
      <c r="M15" s="534"/>
      <c r="N15" s="534"/>
      <c r="O15" s="535"/>
      <c r="P15" s="535"/>
      <c r="Q15" s="536"/>
      <c r="R15" s="66">
        <f>SUM(weitere_Ausgaben[[#This Row],[D]:[Q]])</f>
        <v>0</v>
      </c>
    </row>
    <row r="16" spans="1:18" ht="15.75">
      <c r="A16" s="395">
        <v>9</v>
      </c>
      <c r="B16" s="166"/>
      <c r="C16" s="168"/>
      <c r="D16" s="201"/>
      <c r="E16" s="199"/>
      <c r="F16" s="199"/>
      <c r="G16" s="199"/>
      <c r="H16" s="199"/>
      <c r="I16" s="199"/>
      <c r="J16" s="199"/>
      <c r="K16" s="534"/>
      <c r="L16" s="534"/>
      <c r="M16" s="534"/>
      <c r="N16" s="534"/>
      <c r="O16" s="535"/>
      <c r="P16" s="535"/>
      <c r="Q16" s="536"/>
      <c r="R16" s="66">
        <f>SUM(weitere_Ausgaben[[#This Row],[D]:[Q]])</f>
        <v>0</v>
      </c>
    </row>
    <row r="17" spans="1:18" ht="15.75">
      <c r="A17" s="395">
        <v>10</v>
      </c>
      <c r="B17" s="166"/>
      <c r="C17" s="168"/>
      <c r="D17" s="201"/>
      <c r="E17" s="199"/>
      <c r="F17" s="199"/>
      <c r="G17" s="199"/>
      <c r="H17" s="199"/>
      <c r="I17" s="199"/>
      <c r="J17" s="199"/>
      <c r="K17" s="534"/>
      <c r="L17" s="534"/>
      <c r="M17" s="534"/>
      <c r="N17" s="534"/>
      <c r="O17" s="535"/>
      <c r="P17" s="535"/>
      <c r="Q17" s="536"/>
      <c r="R17" s="66">
        <f>SUM(weitere_Ausgaben[[#This Row],[D]:[Q]])</f>
        <v>0</v>
      </c>
    </row>
    <row r="18" spans="1:18" ht="15.75">
      <c r="A18" s="395">
        <v>11</v>
      </c>
      <c r="B18" s="166"/>
      <c r="C18" s="168"/>
      <c r="D18" s="201"/>
      <c r="E18" s="199"/>
      <c r="F18" s="199"/>
      <c r="G18" s="199"/>
      <c r="H18" s="199"/>
      <c r="I18" s="199"/>
      <c r="J18" s="199"/>
      <c r="K18" s="534"/>
      <c r="L18" s="534"/>
      <c r="M18" s="534"/>
      <c r="N18" s="534"/>
      <c r="O18" s="535"/>
      <c r="P18" s="535"/>
      <c r="Q18" s="536"/>
      <c r="R18" s="66">
        <f>SUM(weitere_Ausgaben[[#This Row],[D]:[Q]])</f>
        <v>0</v>
      </c>
    </row>
    <row r="19" spans="1:18" ht="15.75">
      <c r="A19" s="395">
        <v>12</v>
      </c>
      <c r="B19" s="166"/>
      <c r="C19" s="168"/>
      <c r="D19" s="201"/>
      <c r="E19" s="199"/>
      <c r="F19" s="199"/>
      <c r="G19" s="199"/>
      <c r="H19" s="199"/>
      <c r="I19" s="199"/>
      <c r="J19" s="199"/>
      <c r="K19" s="534"/>
      <c r="L19" s="534"/>
      <c r="M19" s="534"/>
      <c r="N19" s="534"/>
      <c r="O19" s="535"/>
      <c r="P19" s="535"/>
      <c r="Q19" s="536"/>
      <c r="R19" s="66">
        <f>SUM(weitere_Ausgaben[[#This Row],[D]:[Q]])</f>
        <v>0</v>
      </c>
    </row>
    <row r="20" spans="1:18" ht="15.75">
      <c r="A20" s="395">
        <v>13</v>
      </c>
      <c r="B20" s="166"/>
      <c r="C20" s="168"/>
      <c r="D20" s="201"/>
      <c r="E20" s="199"/>
      <c r="F20" s="199"/>
      <c r="G20" s="199"/>
      <c r="H20" s="199"/>
      <c r="I20" s="199"/>
      <c r="J20" s="199"/>
      <c r="K20" s="534"/>
      <c r="L20" s="534"/>
      <c r="M20" s="534"/>
      <c r="N20" s="534"/>
      <c r="O20" s="535"/>
      <c r="P20" s="535"/>
      <c r="Q20" s="536"/>
      <c r="R20" s="66">
        <f>SUM(weitere_Ausgaben[[#This Row],[D]:[Q]])</f>
        <v>0</v>
      </c>
    </row>
    <row r="21" spans="1:18" ht="15.75">
      <c r="A21" s="395">
        <v>14</v>
      </c>
      <c r="B21" s="166"/>
      <c r="C21" s="168"/>
      <c r="D21" s="201"/>
      <c r="E21" s="199"/>
      <c r="F21" s="199"/>
      <c r="G21" s="199"/>
      <c r="H21" s="199"/>
      <c r="I21" s="199"/>
      <c r="J21" s="199"/>
      <c r="K21" s="534"/>
      <c r="L21" s="534"/>
      <c r="M21" s="534"/>
      <c r="N21" s="534"/>
      <c r="O21" s="535"/>
      <c r="P21" s="535"/>
      <c r="Q21" s="536"/>
      <c r="R21" s="66">
        <f>SUM(weitere_Ausgaben[[#This Row],[D]:[Q]])</f>
        <v>0</v>
      </c>
    </row>
    <row r="22" spans="1:18" ht="16.5" thickBot="1">
      <c r="A22" s="395">
        <v>15</v>
      </c>
      <c r="B22" s="166"/>
      <c r="C22" s="168"/>
      <c r="D22" s="201"/>
      <c r="E22" s="199"/>
      <c r="F22" s="199"/>
      <c r="G22" s="199"/>
      <c r="H22" s="199"/>
      <c r="I22" s="199"/>
      <c r="J22" s="199"/>
      <c r="K22" s="537"/>
      <c r="L22" s="537"/>
      <c r="M22" s="537"/>
      <c r="N22" s="537"/>
      <c r="O22" s="538"/>
      <c r="P22" s="538"/>
      <c r="Q22" s="539"/>
      <c r="R22" s="161">
        <f>SUM(weitere_Ausgaben[[#This Row],[D]:[Q]])</f>
        <v>0</v>
      </c>
    </row>
    <row r="23" spans="1:18" ht="21" customHeight="1" thickTop="1" thickBot="1">
      <c r="A23" s="540" t="s">
        <v>88</v>
      </c>
      <c r="B23" s="541"/>
      <c r="C23" s="542"/>
      <c r="D23" s="543">
        <f>SUBTOTAL(109,weitere_Ausgaben[D])</f>
        <v>0</v>
      </c>
      <c r="E23" s="544">
        <f>SUBTOTAL(109,weitere_Ausgaben[E])</f>
        <v>0</v>
      </c>
      <c r="F23" s="544">
        <f>SUBTOTAL(109,weitere_Ausgaben[F])</f>
        <v>0</v>
      </c>
      <c r="G23" s="544">
        <f>SUBTOTAL(109,weitere_Ausgaben[G])</f>
        <v>0</v>
      </c>
      <c r="H23" s="544">
        <f>SUBTOTAL(109,weitere_Ausgaben[H])</f>
        <v>0</v>
      </c>
      <c r="I23" s="544">
        <f>SUBTOTAL(109,weitere_Ausgaben[I])</f>
        <v>0</v>
      </c>
      <c r="J23" s="544">
        <f>SUBTOTAL(109,weitere_Ausgaben[J])</f>
        <v>0</v>
      </c>
      <c r="K23" s="544">
        <f>SUBTOTAL(109,weitere_Ausgaben[K])</f>
        <v>0</v>
      </c>
      <c r="L23" s="544">
        <f>SUBTOTAL(109,weitere_Ausgaben[L])</f>
        <v>0</v>
      </c>
      <c r="M23" s="544">
        <f>SUBTOTAL(109,weitere_Ausgaben[M])</f>
        <v>0</v>
      </c>
      <c r="N23" s="544">
        <f>SUBTOTAL(109,weitere_Ausgaben[N])</f>
        <v>0</v>
      </c>
      <c r="O23" s="544">
        <f>SUBTOTAL(109,weitere_Ausgaben[O])</f>
        <v>0</v>
      </c>
      <c r="P23" s="544">
        <f>SUBTOTAL(109,weitere_Ausgaben[P])</f>
        <v>0</v>
      </c>
      <c r="Q23" s="545">
        <f>SUBTOTAL(109,weitere_Ausgaben[Q])</f>
        <v>0</v>
      </c>
      <c r="R23" s="546">
        <f>SUBTOTAL(109,weitere_Ausgaben[R])</f>
        <v>0</v>
      </c>
    </row>
    <row r="24" spans="1:18" ht="20.45" customHeight="1" thickTop="1">
      <c r="A24" s="174" t="s">
        <v>89</v>
      </c>
      <c r="B24" s="174"/>
      <c r="C24" s="175" t="s">
        <v>54</v>
      </c>
      <c r="D24" s="258">
        <f>SUMIF(weitere_Ausgaben[C],$C24,weitere_Ausgaben[D])</f>
        <v>0</v>
      </c>
      <c r="E24" s="259">
        <f>SUMIF(weitere_Ausgaben[C],$C24,weitere_Ausgaben[E])</f>
        <v>0</v>
      </c>
      <c r="F24" s="259">
        <f>SUMIF(weitere_Ausgaben[C],$C24,weitere_Ausgaben[F])</f>
        <v>0</v>
      </c>
      <c r="G24" s="259">
        <f>SUMIF(weitere_Ausgaben[C],$C24,weitere_Ausgaben[G])</f>
        <v>0</v>
      </c>
      <c r="H24" s="259">
        <f>SUMIF(weitere_Ausgaben[C],$C24,weitere_Ausgaben[H])</f>
        <v>0</v>
      </c>
      <c r="I24" s="259">
        <f>SUMIF(weitere_Ausgaben[C],$C24,weitere_Ausgaben[I])</f>
        <v>0</v>
      </c>
      <c r="J24" s="259">
        <f>SUMIF(weitere_Ausgaben[C],$C24,weitere_Ausgaben[J])</f>
        <v>0</v>
      </c>
      <c r="K24" s="259">
        <f>SUMIF(weitere_Ausgaben[C],$C24,weitere_Ausgaben[K])</f>
        <v>0</v>
      </c>
      <c r="L24" s="259">
        <f>SUMIF(weitere_Ausgaben[C],$C24,weitere_Ausgaben[L])</f>
        <v>0</v>
      </c>
      <c r="M24" s="259">
        <f>SUMIF(weitere_Ausgaben[C],$C24,weitere_Ausgaben[M])</f>
        <v>0</v>
      </c>
      <c r="N24" s="259">
        <f>SUMIF(weitere_Ausgaben[C],$C24,weitere_Ausgaben[N])</f>
        <v>0</v>
      </c>
      <c r="O24" s="259">
        <f>SUMIF(weitere_Ausgaben[C],$C24,weitere_Ausgaben[O])</f>
        <v>0</v>
      </c>
      <c r="P24" s="259">
        <f>SUMIF(weitere_Ausgaben[C],$C24,weitere_Ausgaben[P])</f>
        <v>0</v>
      </c>
      <c r="Q24" s="260">
        <f>SUMIF(weitere_Ausgaben[C],$C24,weitere_Ausgaben[Q])</f>
        <v>0</v>
      </c>
      <c r="R24" s="176">
        <f>SUMIF(weitere_Ausgaben[C],$C24,weitere_Ausgaben[R])</f>
        <v>0</v>
      </c>
    </row>
    <row r="25" spans="1:18" ht="20.45" customHeight="1">
      <c r="A25" s="45" t="s">
        <v>90</v>
      </c>
      <c r="B25" s="45"/>
      <c r="C25" s="65" t="s">
        <v>59</v>
      </c>
      <c r="D25" s="261">
        <f>SUMIF(weitere_Ausgaben[C],$C25,weitere_Ausgaben[D])</f>
        <v>0</v>
      </c>
      <c r="E25" s="262">
        <f>SUMIF(weitere_Ausgaben[C],$C25,weitere_Ausgaben[E])</f>
        <v>0</v>
      </c>
      <c r="F25" s="262">
        <f>SUMIF(weitere_Ausgaben[C],$C25,weitere_Ausgaben[F])</f>
        <v>0</v>
      </c>
      <c r="G25" s="262">
        <f>SUMIF(weitere_Ausgaben[C],$C25,weitere_Ausgaben[G])</f>
        <v>0</v>
      </c>
      <c r="H25" s="262">
        <f>SUMIF(weitere_Ausgaben[C],$C25,weitere_Ausgaben[H])</f>
        <v>0</v>
      </c>
      <c r="I25" s="262">
        <f>SUMIF(weitere_Ausgaben[C],$C25,weitere_Ausgaben[I])</f>
        <v>0</v>
      </c>
      <c r="J25" s="262">
        <f>SUMIF(weitere_Ausgaben[C],$C25,weitere_Ausgaben[J])</f>
        <v>0</v>
      </c>
      <c r="K25" s="262">
        <f>SUMIF(weitere_Ausgaben[C],$C25,weitere_Ausgaben[K])</f>
        <v>0</v>
      </c>
      <c r="L25" s="262">
        <f>SUMIF(weitere_Ausgaben[C],$C25,weitere_Ausgaben[L])</f>
        <v>0</v>
      </c>
      <c r="M25" s="262">
        <f>SUMIF(weitere_Ausgaben[C],$C25,weitere_Ausgaben[M])</f>
        <v>0</v>
      </c>
      <c r="N25" s="262">
        <f>SUMIF(weitere_Ausgaben[C],$C25,weitere_Ausgaben[N])</f>
        <v>0</v>
      </c>
      <c r="O25" s="262">
        <f>SUMIF(weitere_Ausgaben[C],$C25,weitere_Ausgaben[O])</f>
        <v>0</v>
      </c>
      <c r="P25" s="262">
        <f>SUMIF(weitere_Ausgaben[C],$C25,weitere_Ausgaben[P])</f>
        <v>0</v>
      </c>
      <c r="Q25" s="263">
        <f>SUMIF(weitere_Ausgaben[C],$C25,weitere_Ausgaben[Q])</f>
        <v>0</v>
      </c>
      <c r="R25" s="66">
        <f>SUMIF(weitere_Ausgaben[C],$C25,weitere_Ausgaben[R])</f>
        <v>0</v>
      </c>
    </row>
    <row r="26" spans="1:18" ht="28.9" customHeight="1">
      <c r="B26" s="374" t="str">
        <f>IF(SUM(nachrichtliche_Kosten[R])&lt;&gt;nachrichtliche_Kosten[[#Totals],[R]],"Achtung: Es wurden Teilmaßnahmen mit Ausgaben ausgeblendet!","")</f>
        <v/>
      </c>
    </row>
    <row r="27" spans="1:18" ht="25.15" customHeight="1">
      <c r="A27" s="99" t="s">
        <v>91</v>
      </c>
    </row>
    <row r="28" spans="1:18" ht="30.6" customHeight="1">
      <c r="A28" s="155" t="s">
        <v>85</v>
      </c>
      <c r="B28" s="156" t="s">
        <v>86</v>
      </c>
      <c r="C28" s="157" t="s">
        <v>92</v>
      </c>
      <c r="D28" s="256" t="s">
        <v>47</v>
      </c>
      <c r="E28" s="257" t="str">
        <f>IF(E29&lt;Start!$B$11,"Ist Ausgaben"&amp;CHAR(10)&amp;"€","Planung"&amp;CHAR(10)&amp;"€")</f>
        <v>Planung
€</v>
      </c>
      <c r="F28" s="257" t="str">
        <f>IF(F29&lt;Start!$B$11,"Ist Ausgaben"&amp;CHAR(10)&amp;"€","Planung"&amp;CHAR(10)&amp;"€")</f>
        <v>Planung
€</v>
      </c>
      <c r="G28" s="257" t="str">
        <f>IF(G29&lt;Start!$B$11,"Ist Ausgaben"&amp;CHAR(10)&amp;"€","Planung"&amp;CHAR(10)&amp;"€")</f>
        <v>Planung
€</v>
      </c>
      <c r="H28" s="257" t="str">
        <f>IF(H29&lt;Start!$B$11,"Ist Ausgaben"&amp;CHAR(10)&amp;"€","Planung"&amp;CHAR(10)&amp;"€")</f>
        <v>Planung
€</v>
      </c>
      <c r="I28" s="257" t="str">
        <f>IF(I29&lt;Start!$B$11,"Ist Ausgaben"&amp;CHAR(10)&amp;"€","Planung"&amp;CHAR(10)&amp;"€")</f>
        <v>Planung
€</v>
      </c>
      <c r="J28" s="257" t="str">
        <f>IF(J29&lt;Start!$B$11,"Ist Ausgaben"&amp;CHAR(10)&amp;"€","Planung"&amp;CHAR(10)&amp;"€")</f>
        <v>Planung
€</v>
      </c>
      <c r="K28" s="257" t="str">
        <f>IF(K29&lt;Start!$B$11,"Ist Ausgaben"&amp;CHAR(10)&amp;"€","Planung"&amp;CHAR(10)&amp;"€")</f>
        <v>Planung
€</v>
      </c>
      <c r="L28" s="257" t="str">
        <f>IF(L29&lt;Start!$B$11,"Ist Ausgaben"&amp;CHAR(10)&amp;"€","Planung"&amp;CHAR(10)&amp;"€")</f>
        <v>Planung
€</v>
      </c>
      <c r="M28" s="257" t="str">
        <f>IF(M29&lt;Start!$B$11,"Ist Ausgaben"&amp;CHAR(10)&amp;"€","Planung"&amp;CHAR(10)&amp;"€")</f>
        <v>Planung
€</v>
      </c>
      <c r="N28" s="257" t="str">
        <f>IF(N29&lt;Start!$B$11,"Ist Ausgaben"&amp;CHAR(10)&amp;"€","Planung"&amp;CHAR(10)&amp;"€")</f>
        <v>Planung
€</v>
      </c>
      <c r="O28" s="384" t="str">
        <f>IF(O29&lt;Start!$B$11,"Ist Ausgaben"&amp;CHAR(10)&amp;"€","Planung"&amp;CHAR(10)&amp;"€")</f>
        <v>Planung
€</v>
      </c>
      <c r="P28" s="384" t="str">
        <f>IF(P29&lt;Start!$B$11,"Ist Ausgaben"&amp;CHAR(10)&amp;"€","Planung"&amp;CHAR(10)&amp;"€")</f>
        <v>Planung
€</v>
      </c>
      <c r="Q28" s="385" t="str">
        <f>IF(Q29&lt;Start!$B$11,"Ist Ausgaben"&amp;CHAR(10)&amp;"€","Planung"&amp;CHAR(10)&amp;"€")</f>
        <v>Planung
€</v>
      </c>
      <c r="R28" s="151" t="s">
        <v>48</v>
      </c>
    </row>
    <row r="29" spans="1:18">
      <c r="A29" s="158"/>
      <c r="B29" s="159"/>
      <c r="C29" s="160"/>
      <c r="D29" s="230">
        <f>IF(Start!$B$22="",Start!$B$11-1,YEAR(Start!$B$22)-1)</f>
        <v>-1</v>
      </c>
      <c r="E29" s="231">
        <f>D29+1</f>
        <v>0</v>
      </c>
      <c r="F29" s="231">
        <f t="shared" ref="F29:Q29" si="12">E29+1</f>
        <v>1</v>
      </c>
      <c r="G29" s="231">
        <f t="shared" si="12"/>
        <v>2</v>
      </c>
      <c r="H29" s="231">
        <f t="shared" si="12"/>
        <v>3</v>
      </c>
      <c r="I29" s="231">
        <f t="shared" si="12"/>
        <v>4</v>
      </c>
      <c r="J29" s="231">
        <f t="shared" si="12"/>
        <v>5</v>
      </c>
      <c r="K29" s="231">
        <f t="shared" si="12"/>
        <v>6</v>
      </c>
      <c r="L29" s="231">
        <f t="shared" si="12"/>
        <v>7</v>
      </c>
      <c r="M29" s="231">
        <f t="shared" si="12"/>
        <v>8</v>
      </c>
      <c r="N29" s="231">
        <f t="shared" si="12"/>
        <v>9</v>
      </c>
      <c r="O29" s="386">
        <f t="shared" si="12"/>
        <v>10</v>
      </c>
      <c r="P29" s="386">
        <f t="shared" si="12"/>
        <v>11</v>
      </c>
      <c r="Q29" s="387">
        <f t="shared" si="12"/>
        <v>12</v>
      </c>
      <c r="R29" s="173"/>
    </row>
    <row r="30" spans="1:18">
      <c r="A30" s="4" t="s">
        <v>54</v>
      </c>
      <c r="B30" s="5" t="s">
        <v>55</v>
      </c>
      <c r="C30" s="5" t="s">
        <v>56</v>
      </c>
      <c r="D30" s="232" t="s">
        <v>57</v>
      </c>
      <c r="E30" s="233" t="s">
        <v>58</v>
      </c>
      <c r="F30" s="233" t="s">
        <v>59</v>
      </c>
      <c r="G30" s="233" t="s">
        <v>60</v>
      </c>
      <c r="H30" s="233" t="s">
        <v>61</v>
      </c>
      <c r="I30" s="233" t="s">
        <v>62</v>
      </c>
      <c r="J30" s="233" t="s">
        <v>63</v>
      </c>
      <c r="K30" s="233" t="s">
        <v>64</v>
      </c>
      <c r="L30" s="233" t="s">
        <v>65</v>
      </c>
      <c r="M30" s="233" t="s">
        <v>66</v>
      </c>
      <c r="N30" s="233" t="s">
        <v>67</v>
      </c>
      <c r="O30" s="233" t="s">
        <v>68</v>
      </c>
      <c r="P30" s="233" t="s">
        <v>69</v>
      </c>
      <c r="Q30" s="234" t="s">
        <v>70</v>
      </c>
      <c r="R30" s="3" t="s">
        <v>71</v>
      </c>
    </row>
    <row r="31" spans="1:18" ht="15.75">
      <c r="A31" s="395">
        <v>1</v>
      </c>
      <c r="B31" s="165"/>
      <c r="C31" s="167"/>
      <c r="D31" s="198"/>
      <c r="E31" s="200"/>
      <c r="F31" s="200"/>
      <c r="G31" s="200"/>
      <c r="H31" s="200"/>
      <c r="I31" s="200"/>
      <c r="J31" s="200"/>
      <c r="K31" s="531"/>
      <c r="L31" s="531"/>
      <c r="M31" s="531"/>
      <c r="N31" s="531"/>
      <c r="O31" s="532"/>
      <c r="P31" s="532"/>
      <c r="Q31" s="533"/>
      <c r="R31" s="162">
        <f>SUM(nachrichtliche_Kosten[[#This Row],[D]:[Q]])</f>
        <v>0</v>
      </c>
    </row>
    <row r="32" spans="1:18" ht="15.75">
      <c r="A32" s="395">
        <v>2</v>
      </c>
      <c r="B32" s="166"/>
      <c r="C32" s="168"/>
      <c r="D32" s="201"/>
      <c r="E32" s="199"/>
      <c r="F32" s="199"/>
      <c r="G32" s="199"/>
      <c r="H32" s="199"/>
      <c r="I32" s="199"/>
      <c r="J32" s="199"/>
      <c r="K32" s="534"/>
      <c r="L32" s="534"/>
      <c r="M32" s="534"/>
      <c r="N32" s="534"/>
      <c r="O32" s="535"/>
      <c r="P32" s="535"/>
      <c r="Q32" s="536"/>
      <c r="R32" s="66">
        <f>SUM(nachrichtliche_Kosten[[#This Row],[D]:[Q]])</f>
        <v>0</v>
      </c>
    </row>
    <row r="33" spans="1:18" ht="15.75">
      <c r="A33" s="395">
        <v>3</v>
      </c>
      <c r="B33" s="166"/>
      <c r="C33" s="167"/>
      <c r="D33" s="201"/>
      <c r="E33" s="199"/>
      <c r="F33" s="199"/>
      <c r="G33" s="199"/>
      <c r="H33" s="199"/>
      <c r="I33" s="199"/>
      <c r="J33" s="199"/>
      <c r="K33" s="534"/>
      <c r="L33" s="534"/>
      <c r="M33" s="534"/>
      <c r="N33" s="534"/>
      <c r="O33" s="535"/>
      <c r="P33" s="535"/>
      <c r="Q33" s="536"/>
      <c r="R33" s="66">
        <f>SUM(nachrichtliche_Kosten[[#This Row],[D]:[Q]])</f>
        <v>0</v>
      </c>
    </row>
    <row r="34" spans="1:18" ht="15.75">
      <c r="A34" s="395">
        <v>4</v>
      </c>
      <c r="B34" s="166"/>
      <c r="C34" s="167"/>
      <c r="D34" s="201"/>
      <c r="E34" s="199"/>
      <c r="F34" s="199"/>
      <c r="G34" s="199"/>
      <c r="H34" s="199"/>
      <c r="I34" s="199"/>
      <c r="J34" s="199"/>
      <c r="K34" s="534"/>
      <c r="L34" s="534"/>
      <c r="M34" s="534"/>
      <c r="N34" s="534"/>
      <c r="O34" s="535"/>
      <c r="P34" s="535"/>
      <c r="Q34" s="536"/>
      <c r="R34" s="66">
        <f>SUM(nachrichtliche_Kosten[[#This Row],[D]:[Q]])</f>
        <v>0</v>
      </c>
    </row>
    <row r="35" spans="1:18" ht="15.75">
      <c r="A35" s="395">
        <v>5</v>
      </c>
      <c r="B35" s="166"/>
      <c r="C35" s="167"/>
      <c r="D35" s="201"/>
      <c r="E35" s="199"/>
      <c r="F35" s="199"/>
      <c r="G35" s="199"/>
      <c r="H35" s="199"/>
      <c r="I35" s="199"/>
      <c r="J35" s="199"/>
      <c r="K35" s="534"/>
      <c r="L35" s="534"/>
      <c r="M35" s="534"/>
      <c r="N35" s="534"/>
      <c r="O35" s="535"/>
      <c r="P35" s="535"/>
      <c r="Q35" s="536"/>
      <c r="R35" s="66">
        <f>SUM(nachrichtliche_Kosten[[#This Row],[D]:[Q]])</f>
        <v>0</v>
      </c>
    </row>
    <row r="36" spans="1:18" ht="15.75">
      <c r="A36" s="395">
        <v>6</v>
      </c>
      <c r="B36" s="166"/>
      <c r="C36" s="167"/>
      <c r="D36" s="201"/>
      <c r="E36" s="199"/>
      <c r="F36" s="199"/>
      <c r="G36" s="199"/>
      <c r="H36" s="199"/>
      <c r="I36" s="199"/>
      <c r="J36" s="199"/>
      <c r="K36" s="534"/>
      <c r="L36" s="534"/>
      <c r="M36" s="534"/>
      <c r="N36" s="534"/>
      <c r="O36" s="535"/>
      <c r="P36" s="535"/>
      <c r="Q36" s="536"/>
      <c r="R36" s="66">
        <f>SUM(nachrichtliche_Kosten[[#This Row],[D]:[Q]])</f>
        <v>0</v>
      </c>
    </row>
    <row r="37" spans="1:18" ht="15.75">
      <c r="A37" s="395">
        <v>7</v>
      </c>
      <c r="B37" s="166"/>
      <c r="C37" s="167"/>
      <c r="D37" s="201"/>
      <c r="E37" s="199"/>
      <c r="F37" s="199"/>
      <c r="G37" s="199"/>
      <c r="H37" s="199"/>
      <c r="I37" s="199"/>
      <c r="J37" s="199"/>
      <c r="K37" s="534"/>
      <c r="L37" s="534"/>
      <c r="M37" s="534"/>
      <c r="N37" s="534"/>
      <c r="O37" s="535"/>
      <c r="P37" s="535"/>
      <c r="Q37" s="536"/>
      <c r="R37" s="66">
        <f>SUM(nachrichtliche_Kosten[[#This Row],[D]:[Q]])</f>
        <v>0</v>
      </c>
    </row>
    <row r="38" spans="1:18" ht="15.75">
      <c r="A38" s="395">
        <v>8</v>
      </c>
      <c r="B38" s="166"/>
      <c r="C38" s="167"/>
      <c r="D38" s="201"/>
      <c r="E38" s="199"/>
      <c r="F38" s="199"/>
      <c r="G38" s="199"/>
      <c r="H38" s="199"/>
      <c r="I38" s="199"/>
      <c r="J38" s="199"/>
      <c r="K38" s="534"/>
      <c r="L38" s="534"/>
      <c r="M38" s="534"/>
      <c r="N38" s="534"/>
      <c r="O38" s="535"/>
      <c r="P38" s="535"/>
      <c r="Q38" s="536"/>
      <c r="R38" s="66">
        <f>SUM(nachrichtliche_Kosten[[#This Row],[D]:[Q]])</f>
        <v>0</v>
      </c>
    </row>
    <row r="39" spans="1:18" ht="15.75">
      <c r="A39" s="395">
        <v>9</v>
      </c>
      <c r="B39" s="166"/>
      <c r="C39" s="167"/>
      <c r="D39" s="201"/>
      <c r="E39" s="199"/>
      <c r="F39" s="199"/>
      <c r="G39" s="199"/>
      <c r="H39" s="199"/>
      <c r="I39" s="199"/>
      <c r="J39" s="199"/>
      <c r="K39" s="534"/>
      <c r="L39" s="534"/>
      <c r="M39" s="534"/>
      <c r="N39" s="534"/>
      <c r="O39" s="535"/>
      <c r="P39" s="535"/>
      <c r="Q39" s="536"/>
      <c r="R39" s="66">
        <f>SUM(nachrichtliche_Kosten[[#This Row],[D]:[Q]])</f>
        <v>0</v>
      </c>
    </row>
    <row r="40" spans="1:18" ht="15.75">
      <c r="A40" s="395">
        <v>10</v>
      </c>
      <c r="B40" s="166"/>
      <c r="C40" s="167"/>
      <c r="D40" s="201"/>
      <c r="E40" s="199"/>
      <c r="F40" s="199"/>
      <c r="G40" s="199"/>
      <c r="H40" s="199"/>
      <c r="I40" s="199"/>
      <c r="J40" s="199"/>
      <c r="K40" s="534"/>
      <c r="L40" s="534"/>
      <c r="M40" s="534"/>
      <c r="N40" s="534"/>
      <c r="O40" s="535"/>
      <c r="P40" s="535"/>
      <c r="Q40" s="536"/>
      <c r="R40" s="66">
        <f>SUM(nachrichtliche_Kosten[[#This Row],[D]:[Q]])</f>
        <v>0</v>
      </c>
    </row>
    <row r="41" spans="1:18" ht="15.75">
      <c r="A41" s="395">
        <v>11</v>
      </c>
      <c r="B41" s="166"/>
      <c r="C41" s="167"/>
      <c r="D41" s="201"/>
      <c r="E41" s="199"/>
      <c r="F41" s="199"/>
      <c r="G41" s="199"/>
      <c r="H41" s="199"/>
      <c r="I41" s="199"/>
      <c r="J41" s="199"/>
      <c r="K41" s="534"/>
      <c r="L41" s="534"/>
      <c r="M41" s="534"/>
      <c r="N41" s="534"/>
      <c r="O41" s="535"/>
      <c r="P41" s="535"/>
      <c r="Q41" s="536"/>
      <c r="R41" s="66">
        <f>SUM(nachrichtliche_Kosten[[#This Row],[D]:[Q]])</f>
        <v>0</v>
      </c>
    </row>
    <row r="42" spans="1:18" ht="15.75">
      <c r="A42" s="395">
        <v>12</v>
      </c>
      <c r="B42" s="166"/>
      <c r="C42" s="167"/>
      <c r="D42" s="201"/>
      <c r="E42" s="199"/>
      <c r="F42" s="199"/>
      <c r="G42" s="199"/>
      <c r="H42" s="199"/>
      <c r="I42" s="199"/>
      <c r="J42" s="199"/>
      <c r="K42" s="534"/>
      <c r="L42" s="534"/>
      <c r="M42" s="534"/>
      <c r="N42" s="534"/>
      <c r="O42" s="535"/>
      <c r="P42" s="535"/>
      <c r="Q42" s="536"/>
      <c r="R42" s="66">
        <f>SUM(nachrichtliche_Kosten[[#This Row],[D]:[Q]])</f>
        <v>0</v>
      </c>
    </row>
    <row r="43" spans="1:18" ht="15.75">
      <c r="A43" s="395">
        <v>13</v>
      </c>
      <c r="B43" s="166"/>
      <c r="C43" s="167"/>
      <c r="D43" s="201"/>
      <c r="E43" s="199"/>
      <c r="F43" s="199"/>
      <c r="G43" s="199"/>
      <c r="H43" s="199"/>
      <c r="I43" s="199"/>
      <c r="J43" s="199"/>
      <c r="K43" s="534"/>
      <c r="L43" s="534"/>
      <c r="M43" s="534"/>
      <c r="N43" s="534"/>
      <c r="O43" s="535"/>
      <c r="P43" s="535"/>
      <c r="Q43" s="536"/>
      <c r="R43" s="66">
        <f>SUM(nachrichtliche_Kosten[[#This Row],[D]:[Q]])</f>
        <v>0</v>
      </c>
    </row>
    <row r="44" spans="1:18" ht="15.75">
      <c r="A44" s="395">
        <v>14</v>
      </c>
      <c r="B44" s="166"/>
      <c r="C44" s="167"/>
      <c r="D44" s="201"/>
      <c r="E44" s="199"/>
      <c r="F44" s="199"/>
      <c r="G44" s="199"/>
      <c r="H44" s="199"/>
      <c r="I44" s="199"/>
      <c r="J44" s="199"/>
      <c r="K44" s="534"/>
      <c r="L44" s="534"/>
      <c r="M44" s="534"/>
      <c r="N44" s="534"/>
      <c r="O44" s="535"/>
      <c r="P44" s="535"/>
      <c r="Q44" s="536"/>
      <c r="R44" s="66">
        <f>SUM(nachrichtliche_Kosten[[#This Row],[D]:[Q]])</f>
        <v>0</v>
      </c>
    </row>
    <row r="45" spans="1:18" ht="16.5" thickBot="1">
      <c r="A45" s="395">
        <v>15</v>
      </c>
      <c r="B45" s="166"/>
      <c r="C45" s="167"/>
      <c r="D45" s="201"/>
      <c r="E45" s="199"/>
      <c r="F45" s="199"/>
      <c r="G45" s="199"/>
      <c r="H45" s="199"/>
      <c r="I45" s="199"/>
      <c r="J45" s="199"/>
      <c r="K45" s="537"/>
      <c r="L45" s="537"/>
      <c r="M45" s="537"/>
      <c r="N45" s="537"/>
      <c r="O45" s="538"/>
      <c r="P45" s="538"/>
      <c r="Q45" s="539"/>
      <c r="R45" s="161">
        <f>SUM(nachrichtliche_Kosten[[#This Row],[D]:[Q]])</f>
        <v>0</v>
      </c>
    </row>
    <row r="46" spans="1:18" ht="21" customHeight="1" thickTop="1" thickBot="1">
      <c r="A46" s="547" t="s">
        <v>88</v>
      </c>
      <c r="B46" s="548"/>
      <c r="C46" s="549"/>
      <c r="D46" s="550">
        <f>SUBTOTAL(109,nachrichtliche_Kosten[D])</f>
        <v>0</v>
      </c>
      <c r="E46" s="551">
        <f>SUBTOTAL(109,nachrichtliche_Kosten[E])</f>
        <v>0</v>
      </c>
      <c r="F46" s="551">
        <f>SUBTOTAL(109,nachrichtliche_Kosten[F])</f>
        <v>0</v>
      </c>
      <c r="G46" s="551">
        <f>SUBTOTAL(109,nachrichtliche_Kosten[G])</f>
        <v>0</v>
      </c>
      <c r="H46" s="551">
        <f>SUBTOTAL(109,nachrichtliche_Kosten[H])</f>
        <v>0</v>
      </c>
      <c r="I46" s="551">
        <f>SUBTOTAL(109,nachrichtliche_Kosten[I])</f>
        <v>0</v>
      </c>
      <c r="J46" s="551">
        <f>SUBTOTAL(109,nachrichtliche_Kosten[J])</f>
        <v>0</v>
      </c>
      <c r="K46" s="551">
        <f>SUBTOTAL(109,nachrichtliche_Kosten[K])</f>
        <v>0</v>
      </c>
      <c r="L46" s="551">
        <f>SUBTOTAL(109,nachrichtliche_Kosten[L])</f>
        <v>0</v>
      </c>
      <c r="M46" s="551">
        <f>SUBTOTAL(109,nachrichtliche_Kosten[M])</f>
        <v>0</v>
      </c>
      <c r="N46" s="551">
        <f>SUBTOTAL(109,nachrichtliche_Kosten[N])</f>
        <v>0</v>
      </c>
      <c r="O46" s="551">
        <f>SUBTOTAL(109,nachrichtliche_Kosten[O])</f>
        <v>0</v>
      </c>
      <c r="P46" s="551">
        <f>SUBTOTAL(109,nachrichtliche_Kosten[P])</f>
        <v>0</v>
      </c>
      <c r="Q46" s="552">
        <f>SUBTOTAL(109,nachrichtliche_Kosten[Q])</f>
        <v>0</v>
      </c>
      <c r="R46" s="546">
        <f>SUBTOTAL(109,nachrichtliche_Kosten[R])</f>
        <v>0</v>
      </c>
    </row>
    <row r="47" spans="1:18" ht="20.45" customHeight="1" thickTop="1">
      <c r="A47" s="174" t="s">
        <v>93</v>
      </c>
      <c r="B47" s="174"/>
      <c r="C47" s="175" t="s">
        <v>94</v>
      </c>
      <c r="D47" s="258">
        <f>SUMIF(nachrichtliche_Kosten[C],$C47,nachrichtliche_Kosten[D])</f>
        <v>0</v>
      </c>
      <c r="E47" s="259">
        <f>SUMIF(nachrichtliche_Kosten[C],$C47,nachrichtliche_Kosten[E])</f>
        <v>0</v>
      </c>
      <c r="F47" s="259">
        <f>SUMIF(nachrichtliche_Kosten[C],$C47,nachrichtliche_Kosten[F])</f>
        <v>0</v>
      </c>
      <c r="G47" s="259">
        <f>SUMIF(nachrichtliche_Kosten[C],$C47,nachrichtliche_Kosten[G])</f>
        <v>0</v>
      </c>
      <c r="H47" s="259">
        <f>SUMIF(nachrichtliche_Kosten[C],$C47,nachrichtliche_Kosten[H])</f>
        <v>0</v>
      </c>
      <c r="I47" s="259">
        <f>SUMIF(nachrichtliche_Kosten[C],$C47,nachrichtliche_Kosten[I])</f>
        <v>0</v>
      </c>
      <c r="J47" s="259">
        <f>SUMIF(nachrichtliche_Kosten[C],$C47,nachrichtliche_Kosten[J])</f>
        <v>0</v>
      </c>
      <c r="K47" s="259">
        <f>SUMIF(nachrichtliche_Kosten[C],$C47,nachrichtliche_Kosten[K])</f>
        <v>0</v>
      </c>
      <c r="L47" s="259">
        <f>SUMIF(nachrichtliche_Kosten[C],$C47,nachrichtliche_Kosten[L])</f>
        <v>0</v>
      </c>
      <c r="M47" s="259">
        <f>SUMIF(nachrichtliche_Kosten[C],$C47,nachrichtliche_Kosten[M])</f>
        <v>0</v>
      </c>
      <c r="N47" s="259">
        <f>SUMIF(nachrichtliche_Kosten[C],$C47,nachrichtliche_Kosten[N])</f>
        <v>0</v>
      </c>
      <c r="O47" s="259">
        <f>SUMIF(nachrichtliche_Kosten[C],$C47,nachrichtliche_Kosten[O])</f>
        <v>0</v>
      </c>
      <c r="P47" s="259">
        <f>SUMIF(nachrichtliche_Kosten[C],$C47,nachrichtliche_Kosten[P])</f>
        <v>0</v>
      </c>
      <c r="Q47" s="260">
        <f>SUMIF(nachrichtliche_Kosten[C],$C47,nachrichtliche_Kosten[Q])</f>
        <v>0</v>
      </c>
      <c r="R47" s="176">
        <f>SUMIF(nachrichtliche_Kosten[C],$C47,nachrichtliche_Kosten[R])</f>
        <v>0</v>
      </c>
    </row>
    <row r="48" spans="1:18" ht="20.45" customHeight="1">
      <c r="A48" s="45" t="s">
        <v>95</v>
      </c>
      <c r="B48" s="45"/>
      <c r="C48" s="65" t="s">
        <v>96</v>
      </c>
      <c r="D48" s="261">
        <f>SUMIF(nachrichtliche_Kosten[C],$C48,nachrichtliche_Kosten[D])</f>
        <v>0</v>
      </c>
      <c r="E48" s="262">
        <f>SUMIF(nachrichtliche_Kosten[C],$C48,nachrichtliche_Kosten[E])</f>
        <v>0</v>
      </c>
      <c r="F48" s="262">
        <f>SUMIF(nachrichtliche_Kosten[C],$C48,nachrichtliche_Kosten[F])</f>
        <v>0</v>
      </c>
      <c r="G48" s="262">
        <f>SUMIF(nachrichtliche_Kosten[C],$C48,nachrichtliche_Kosten[G])</f>
        <v>0</v>
      </c>
      <c r="H48" s="262">
        <f>SUMIF(nachrichtliche_Kosten[C],$C48,nachrichtliche_Kosten[H])</f>
        <v>0</v>
      </c>
      <c r="I48" s="262">
        <f>SUMIF(nachrichtliche_Kosten[C],$C48,nachrichtliche_Kosten[I])</f>
        <v>0</v>
      </c>
      <c r="J48" s="262">
        <f>SUMIF(nachrichtliche_Kosten[C],$C48,nachrichtliche_Kosten[J])</f>
        <v>0</v>
      </c>
      <c r="K48" s="262">
        <f>SUMIF(nachrichtliche_Kosten[C],$C48,nachrichtliche_Kosten[K])</f>
        <v>0</v>
      </c>
      <c r="L48" s="262">
        <f>SUMIF(nachrichtliche_Kosten[C],$C48,nachrichtliche_Kosten[L])</f>
        <v>0</v>
      </c>
      <c r="M48" s="262">
        <f>SUMIF(nachrichtliche_Kosten[C],$C48,nachrichtliche_Kosten[M])</f>
        <v>0</v>
      </c>
      <c r="N48" s="262">
        <f>SUMIF(nachrichtliche_Kosten[C],$C48,nachrichtliche_Kosten[N])</f>
        <v>0</v>
      </c>
      <c r="O48" s="262">
        <f>SUMIF(nachrichtliche_Kosten[C],$C48,nachrichtliche_Kosten[O])</f>
        <v>0</v>
      </c>
      <c r="P48" s="262">
        <f>SUMIF(nachrichtliche_Kosten[C],$C48,nachrichtliche_Kosten[P])</f>
        <v>0</v>
      </c>
      <c r="Q48" s="263">
        <f>SUMIF(nachrichtliche_Kosten[C],$C48,nachrichtliche_Kosten[Q])</f>
        <v>0</v>
      </c>
      <c r="R48" s="66">
        <f>SUMIF(nachrichtliche_Kosten[C],$C48,nachrichtliche_Kosten[R])</f>
        <v>0</v>
      </c>
    </row>
  </sheetData>
  <sheetProtection password="8640" sheet="1" formatColumns="0" autoFilter="0"/>
  <dataValidations count="6">
    <dataValidation type="list" allowBlank="1" showInputMessage="1" showErrorMessage="1" promptTitle="Auswahlfeld" prompt="A = von der Antragstellerin zu finanzieren_x000a_F = Gegenstand anderer Förderprogramme" sqref="C8:C22" xr:uid="{00000000-0002-0000-0200-000000000000}">
      <formula1>"A,F"</formula1>
    </dataValidation>
    <dataValidation allowBlank="1" showInputMessage="1" showErrorMessage="1" promptTitle="Eingabe" prompt="Geplante Ausgaben" sqref="O8:Q22 O31:Q45" xr:uid="{00000000-0002-0000-0200-000001000000}"/>
    <dataValidation type="list" allowBlank="1" showInputMessage="1" showErrorMessage="1" promptTitle="Auswahlfeld" prompt="ö = öffentliche Träger_x000a_p = private Eigentümer und Bauherren" sqref="C31:C45" xr:uid="{00000000-0002-0000-0200-000002000000}">
      <formula1>"ö,p"</formula1>
    </dataValidation>
    <dataValidation allowBlank="1" showInputMessage="1" showErrorMessage="1" promptTitle="Eingabe" prompt="Maßnahmenbezeichnung und ggf. Förderprogramm." sqref="B8:B22" xr:uid="{00000000-0002-0000-0200-000003000000}"/>
    <dataValidation allowBlank="1" showInputMessage="1" showErrorMessage="1" promptTitle="Eingabe" prompt="Maßnahmenbezeichnung und Träger der Maßnahme." sqref="B31:B45" xr:uid="{00000000-0002-0000-0200-000004000000}"/>
    <dataValidation allowBlank="1" showErrorMessage="1" sqref="D8:N22 D31:N45" xr:uid="{00000000-0002-0000-0200-000005000000}"/>
  </dataValidations>
  <hyperlinks>
    <hyperlink ref="G1" location="Start!A1" display="Start" xr:uid="{00000000-0004-0000-0200-000000000000}"/>
    <hyperlink ref="K1" location="Bewilligungen!A1" display="Bewilligungen" xr:uid="{00000000-0004-0000-0200-000001000000}"/>
    <hyperlink ref="J1" location="Einnahmen!A1" display="Einnahmen" xr:uid="{00000000-0004-0000-0200-000002000000}"/>
    <hyperlink ref="L1" location="Förderantrag!A1" display="Förderantrag" xr:uid="{00000000-0004-0000-0200-000003000000}"/>
    <hyperlink ref="M1" location="'KuF Zusammenfassung'!A1" display="KuF Zus." xr:uid="{00000000-0004-0000-0200-000004000000}"/>
    <hyperlink ref="H1" location="'grunds. zuwendungsf. Ausgaben'!A1" display="Ausgaben" xr:uid="{00000000-0004-0000-0200-000005000000}"/>
  </hyperlinks>
  <pageMargins left="0.70866141732283472" right="0.70866141732283472" top="0.78740157480314965" bottom="0.78740157480314965" header="0.31496062992125984" footer="0.31496062992125984"/>
  <pageSetup paperSize="8" scale="82" fitToHeight="0" orientation="landscape" r:id="rId1"/>
  <tableParts count="2">
    <tablePart r:id="rId2"/>
    <tablePart r:id="rId3"/>
  </tableParts>
  <extLst>
    <ext xmlns:x14="http://schemas.microsoft.com/office/spreadsheetml/2009/9/main" uri="{78C0D931-6437-407d-A8EE-F0AAD7539E65}">
      <x14:conditionalFormattings>
        <x14:conditionalFormatting xmlns:xm="http://schemas.microsoft.com/office/excel/2006/main">
          <x14:cfRule type="expression" priority="2" id="{7F6C8DF5-819A-4D64-9C23-F0863168E2D1}">
            <xm:f>D$6=Start!$B$11</xm:f>
            <x14:dxf>
              <fill>
                <patternFill>
                  <bgColor theme="7" tint="0.79998168889431442"/>
                </patternFill>
              </fill>
            </x14:dxf>
          </x14:cfRule>
          <xm:sqref>D8:Q25</xm:sqref>
        </x14:conditionalFormatting>
        <x14:conditionalFormatting xmlns:xm="http://schemas.microsoft.com/office/excel/2006/main">
          <x14:cfRule type="expression" priority="1" id="{C4507138-0548-4C97-9376-5B2EE1AA2F55}">
            <xm:f>D$6=Start!$B$11</xm:f>
            <x14:dxf>
              <fill>
                <patternFill>
                  <bgColor theme="7" tint="0.79998168889431442"/>
                </patternFill>
              </fill>
            </x14:dxf>
          </x14:cfRule>
          <xm:sqref>D31:Q48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R35"/>
  <sheetViews>
    <sheetView showGridLines="0" workbookViewId="0" xr3:uid="{51F8DEE0-4D01-5F28-A812-FC0BD7CAC4A5}">
      <pane xSplit="3" ySplit="7" topLeftCell="D8" activePane="bottomRight" state="frozen"/>
      <selection pane="bottomRight" activeCell="M1" sqref="M1"/>
      <selection pane="bottomLeft" activeCell="A5" sqref="A5"/>
      <selection pane="topRight" activeCell="D1" sqref="D1"/>
    </sheetView>
  </sheetViews>
  <sheetFormatPr defaultColWidth="11.5703125" defaultRowHeight="15"/>
  <cols>
    <col min="1" max="1" width="6.5703125" style="2" customWidth="1"/>
    <col min="2" max="2" width="57.5703125" style="2" customWidth="1"/>
    <col min="3" max="3" width="7.42578125" style="2" customWidth="1"/>
    <col min="4" max="14" width="13.42578125" style="2" customWidth="1"/>
    <col min="15" max="17" width="13.42578125" style="2" hidden="1" customWidth="1"/>
    <col min="18" max="18" width="13.42578125" style="2" customWidth="1"/>
    <col min="19" max="16384" width="11.5703125" style="2"/>
  </cols>
  <sheetData>
    <row r="1" spans="1:18" customFormat="1" ht="22.9" customHeight="1">
      <c r="A1" s="286" t="str">
        <f>CONCATENATE("Anlass der Kosten- und Finanzierungsübersicht: ",Start!$B$3," zum ",Start!$B$12 )</f>
        <v>Anlass der Kosten- und Finanzierungsübersicht: Erstantrag zum 31.01.</v>
      </c>
      <c r="B1" s="286"/>
      <c r="C1" s="286"/>
      <c r="D1" s="287"/>
      <c r="E1" s="286"/>
      <c r="F1" s="286"/>
      <c r="G1" s="332" t="s">
        <v>26</v>
      </c>
      <c r="H1" s="452" t="s">
        <v>27</v>
      </c>
      <c r="I1" s="332" t="s">
        <v>28</v>
      </c>
      <c r="J1" s="333" t="s">
        <v>29</v>
      </c>
      <c r="K1" s="332" t="s">
        <v>30</v>
      </c>
      <c r="L1" s="332" t="s">
        <v>31</v>
      </c>
      <c r="M1" s="332" t="s">
        <v>32</v>
      </c>
    </row>
    <row r="2" spans="1:18" customFormat="1">
      <c r="A2" s="318" t="str">
        <f>IF(Start!B3="Erstantrag","Füllen Sie je Einnahmefall die Spalten B - N aus.","Überprüfen und aktualisieren Sie die Daten in den Spalten B - N.")</f>
        <v>Füllen Sie je Einnahmefall die Spalten B - N aus.</v>
      </c>
      <c r="B2" s="317"/>
      <c r="J2" s="2"/>
    </row>
    <row r="3" spans="1:18" ht="18.600000000000001" customHeight="1">
      <c r="B3" s="374" t="str">
        <f>IF(SUM(Einnahmen[R])&lt;&gt;Einnahmen[[#Totals],[R]],"Achtung: Es wurden Zeilen mit Einnahmen ausgeblendet!","")</f>
        <v/>
      </c>
    </row>
    <row r="4" spans="1:18" ht="25.15" customHeight="1">
      <c r="A4" s="99" t="s">
        <v>97</v>
      </c>
    </row>
    <row r="5" spans="1:18" ht="30.6" customHeight="1">
      <c r="A5" s="218" t="s">
        <v>98</v>
      </c>
      <c r="B5" s="156" t="s">
        <v>99</v>
      </c>
      <c r="C5" s="42" t="s">
        <v>100</v>
      </c>
      <c r="D5" s="228" t="s">
        <v>101</v>
      </c>
      <c r="E5" s="229" t="str">
        <f>IF(E6&lt;Start!$B$11,"Ist Einnahmen"&amp;CHAR(10)&amp;"€","Planung"&amp;CHAR(10)&amp;"€")</f>
        <v>Planung
€</v>
      </c>
      <c r="F5" s="229" t="str">
        <f>IF(F6&lt;Start!$B$11,"Ist Einnahmen"&amp;CHAR(10)&amp;"€","Planung"&amp;CHAR(10)&amp;"€")</f>
        <v>Planung
€</v>
      </c>
      <c r="G5" s="229" t="str">
        <f>IF(G6&lt;Start!$B$11,"Ist Einnahmen"&amp;CHAR(10)&amp;"€","Planung"&amp;CHAR(10)&amp;"€")</f>
        <v>Planung
€</v>
      </c>
      <c r="H5" s="229" t="str">
        <f>IF(H6&lt;Start!$B$11,"Ist Einnahmen"&amp;CHAR(10)&amp;"€","Planung"&amp;CHAR(10)&amp;"€")</f>
        <v>Planung
€</v>
      </c>
      <c r="I5" s="229" t="str">
        <f>IF(I6&lt;Start!$B$11,"Ist Einnahmen"&amp;CHAR(10)&amp;"€","Planung"&amp;CHAR(10)&amp;"€")</f>
        <v>Planung
€</v>
      </c>
      <c r="J5" s="229" t="str">
        <f>IF(J6&lt;Start!$B$11,"Ist Einnahmen"&amp;CHAR(10)&amp;"€","Planung"&amp;CHAR(10)&amp;"€")</f>
        <v>Planung
€</v>
      </c>
      <c r="K5" s="229" t="str">
        <f>IF(K6&lt;Start!$B$11,"Ist Einnahmen"&amp;CHAR(10)&amp;"€","Planung"&amp;CHAR(10)&amp;"€")</f>
        <v>Planung
€</v>
      </c>
      <c r="L5" s="229" t="str">
        <f>IF(L6&lt;Start!$B$11,"Ist Einnahmen"&amp;CHAR(10)&amp;"€","Planung"&amp;CHAR(10)&amp;"€")</f>
        <v>Planung
€</v>
      </c>
      <c r="M5" s="229" t="str">
        <f>IF(M6&lt;Start!$B$11,"Ist Einnahmen"&amp;CHAR(10)&amp;"€","Planung"&amp;CHAR(10)&amp;"€")</f>
        <v>Planung
€</v>
      </c>
      <c r="N5" s="229" t="str">
        <f>IF(N6&lt;Start!$B$11,"Ist Einnahmen"&amp;CHAR(10)&amp;"€","Planung"&amp;CHAR(10)&amp;"€")</f>
        <v>Planung
€</v>
      </c>
      <c r="O5" s="388" t="str">
        <f>IF(O6&lt;Start!$B$11,"Ist Einnahmen"&amp;CHAR(10)&amp;"€","Planung"&amp;CHAR(10)&amp;"€")</f>
        <v>Planung
€</v>
      </c>
      <c r="P5" s="388" t="str">
        <f>IF(P6&lt;Start!$B$11,"Ist Einnahmen"&amp;CHAR(10)&amp;"€","Planung"&amp;CHAR(10)&amp;"€")</f>
        <v>Planung
€</v>
      </c>
      <c r="Q5" s="389" t="str">
        <f>IF(Q6&lt;Start!$B$11,"Ist Einnahmen"&amp;CHAR(10)&amp;"€","Planung"&amp;CHAR(10)&amp;"€")</f>
        <v>Planung
€</v>
      </c>
      <c r="R5" s="218" t="s">
        <v>48</v>
      </c>
    </row>
    <row r="6" spans="1:18">
      <c r="A6" s="158"/>
      <c r="B6" s="159"/>
      <c r="C6" s="160"/>
      <c r="D6" s="230">
        <f>IF(Start!$B$22="",Start!$B$11-1,YEAR(Start!$B$22)-1)</f>
        <v>-1</v>
      </c>
      <c r="E6" s="231">
        <f>D6+1</f>
        <v>0</v>
      </c>
      <c r="F6" s="231">
        <f t="shared" ref="F6:Q6" si="0">E6+1</f>
        <v>1</v>
      </c>
      <c r="G6" s="231">
        <f t="shared" si="0"/>
        <v>2</v>
      </c>
      <c r="H6" s="231">
        <f t="shared" si="0"/>
        <v>3</v>
      </c>
      <c r="I6" s="231">
        <f t="shared" si="0"/>
        <v>4</v>
      </c>
      <c r="J6" s="231">
        <f t="shared" si="0"/>
        <v>5</v>
      </c>
      <c r="K6" s="231">
        <f t="shared" si="0"/>
        <v>6</v>
      </c>
      <c r="L6" s="231">
        <f t="shared" si="0"/>
        <v>7</v>
      </c>
      <c r="M6" s="231">
        <f t="shared" si="0"/>
        <v>8</v>
      </c>
      <c r="N6" s="231">
        <f t="shared" si="0"/>
        <v>9</v>
      </c>
      <c r="O6" s="386">
        <f t="shared" si="0"/>
        <v>10</v>
      </c>
      <c r="P6" s="386">
        <f t="shared" si="0"/>
        <v>11</v>
      </c>
      <c r="Q6" s="387">
        <f t="shared" si="0"/>
        <v>12</v>
      </c>
      <c r="R6" s="173"/>
    </row>
    <row r="7" spans="1:18">
      <c r="A7" s="4" t="s">
        <v>54</v>
      </c>
      <c r="B7" s="5" t="s">
        <v>55</v>
      </c>
      <c r="C7" s="5" t="s">
        <v>56</v>
      </c>
      <c r="D7" s="232" t="s">
        <v>57</v>
      </c>
      <c r="E7" s="233" t="s">
        <v>58</v>
      </c>
      <c r="F7" s="233" t="s">
        <v>59</v>
      </c>
      <c r="G7" s="233" t="s">
        <v>60</v>
      </c>
      <c r="H7" s="233" t="s">
        <v>61</v>
      </c>
      <c r="I7" s="233" t="s">
        <v>62</v>
      </c>
      <c r="J7" s="233" t="s">
        <v>63</v>
      </c>
      <c r="K7" s="233" t="s">
        <v>64</v>
      </c>
      <c r="L7" s="233" t="s">
        <v>65</v>
      </c>
      <c r="M7" s="233" t="s">
        <v>66</v>
      </c>
      <c r="N7" s="233" t="s">
        <v>67</v>
      </c>
      <c r="O7" s="233" t="s">
        <v>68</v>
      </c>
      <c r="P7" s="233" t="s">
        <v>69</v>
      </c>
      <c r="Q7" s="234" t="s">
        <v>70</v>
      </c>
      <c r="R7" s="3" t="s">
        <v>71</v>
      </c>
    </row>
    <row r="8" spans="1:18" ht="15.75">
      <c r="A8" s="395">
        <v>1</v>
      </c>
      <c r="B8" s="219"/>
      <c r="C8" s="392"/>
      <c r="D8" s="200"/>
      <c r="E8" s="200"/>
      <c r="F8" s="200"/>
      <c r="G8" s="200"/>
      <c r="H8" s="200"/>
      <c r="I8" s="200"/>
      <c r="J8" s="200"/>
      <c r="K8" s="534"/>
      <c r="L8" s="534"/>
      <c r="M8" s="534"/>
      <c r="N8" s="534"/>
      <c r="O8" s="531"/>
      <c r="P8" s="531"/>
      <c r="Q8" s="553"/>
      <c r="R8" s="162">
        <f>SUM(Einnahmen[[#This Row],[D]:[Q]])</f>
        <v>0</v>
      </c>
    </row>
    <row r="9" spans="1:18" ht="15.75">
      <c r="A9" s="395">
        <v>2</v>
      </c>
      <c r="B9" s="220"/>
      <c r="C9" s="392"/>
      <c r="D9" s="200"/>
      <c r="E9" s="200"/>
      <c r="F9" s="200"/>
      <c r="G9" s="200"/>
      <c r="H9" s="200"/>
      <c r="I9" s="200"/>
      <c r="J9" s="200"/>
      <c r="K9" s="534"/>
      <c r="L9" s="534"/>
      <c r="M9" s="534"/>
      <c r="N9" s="534"/>
      <c r="O9" s="534"/>
      <c r="P9" s="534"/>
      <c r="Q9" s="554"/>
      <c r="R9" s="66">
        <f>SUM(Einnahmen[[#This Row],[D]:[Q]])</f>
        <v>0</v>
      </c>
    </row>
    <row r="10" spans="1:18" ht="15.75">
      <c r="A10" s="395">
        <v>3</v>
      </c>
      <c r="B10" s="220"/>
      <c r="C10" s="392"/>
      <c r="D10" s="200"/>
      <c r="E10" s="200"/>
      <c r="F10" s="200"/>
      <c r="G10" s="200"/>
      <c r="H10" s="200"/>
      <c r="I10" s="200"/>
      <c r="J10" s="200"/>
      <c r="K10" s="534"/>
      <c r="L10" s="534"/>
      <c r="M10" s="534"/>
      <c r="N10" s="534"/>
      <c r="O10" s="534"/>
      <c r="P10" s="534"/>
      <c r="Q10" s="554"/>
      <c r="R10" s="66">
        <f>SUM(Einnahmen[[#This Row],[D]:[Q]])</f>
        <v>0</v>
      </c>
    </row>
    <row r="11" spans="1:18" ht="15.75">
      <c r="A11" s="395">
        <v>4</v>
      </c>
      <c r="B11" s="220"/>
      <c r="C11" s="392"/>
      <c r="D11" s="200"/>
      <c r="E11" s="200"/>
      <c r="F11" s="200"/>
      <c r="G11" s="200"/>
      <c r="H11" s="200"/>
      <c r="I11" s="200"/>
      <c r="J11" s="200"/>
      <c r="K11" s="534"/>
      <c r="L11" s="534"/>
      <c r="M11" s="534"/>
      <c r="N11" s="534"/>
      <c r="O11" s="534"/>
      <c r="P11" s="534"/>
      <c r="Q11" s="554"/>
      <c r="R11" s="66">
        <f>SUM(Einnahmen[[#This Row],[D]:[Q]])</f>
        <v>0</v>
      </c>
    </row>
    <row r="12" spans="1:18" ht="15.75">
      <c r="A12" s="395">
        <v>5</v>
      </c>
      <c r="B12" s="220"/>
      <c r="C12" s="392"/>
      <c r="D12" s="200"/>
      <c r="E12" s="200"/>
      <c r="F12" s="200"/>
      <c r="G12" s="200"/>
      <c r="H12" s="200"/>
      <c r="I12" s="200"/>
      <c r="J12" s="200"/>
      <c r="K12" s="534"/>
      <c r="L12" s="534"/>
      <c r="M12" s="534"/>
      <c r="N12" s="534"/>
      <c r="O12" s="534"/>
      <c r="P12" s="534"/>
      <c r="Q12" s="554"/>
      <c r="R12" s="66">
        <f>SUM(Einnahmen[[#This Row],[D]:[Q]])</f>
        <v>0</v>
      </c>
    </row>
    <row r="13" spans="1:18" ht="15.75">
      <c r="A13" s="395">
        <v>6</v>
      </c>
      <c r="B13" s="220"/>
      <c r="C13" s="392"/>
      <c r="D13" s="200"/>
      <c r="E13" s="200"/>
      <c r="F13" s="200"/>
      <c r="G13" s="200"/>
      <c r="H13" s="200"/>
      <c r="I13" s="200"/>
      <c r="J13" s="200"/>
      <c r="K13" s="534"/>
      <c r="L13" s="534"/>
      <c r="M13" s="534"/>
      <c r="N13" s="534"/>
      <c r="O13" s="534"/>
      <c r="P13" s="534"/>
      <c r="Q13" s="554"/>
      <c r="R13" s="66">
        <f>SUM(Einnahmen[[#This Row],[D]:[Q]])</f>
        <v>0</v>
      </c>
    </row>
    <row r="14" spans="1:18" ht="15.75">
      <c r="A14" s="395">
        <v>7</v>
      </c>
      <c r="B14" s="220"/>
      <c r="C14" s="392"/>
      <c r="D14" s="200"/>
      <c r="E14" s="200"/>
      <c r="F14" s="200"/>
      <c r="G14" s="200"/>
      <c r="H14" s="200"/>
      <c r="I14" s="200"/>
      <c r="J14" s="200"/>
      <c r="K14" s="534"/>
      <c r="L14" s="534"/>
      <c r="M14" s="534"/>
      <c r="N14" s="534"/>
      <c r="O14" s="534"/>
      <c r="P14" s="534"/>
      <c r="Q14" s="554"/>
      <c r="R14" s="66">
        <f>SUM(Einnahmen[[#This Row],[D]:[Q]])</f>
        <v>0</v>
      </c>
    </row>
    <row r="15" spans="1:18" ht="15.75">
      <c r="A15" s="395">
        <v>8</v>
      </c>
      <c r="B15" s="220"/>
      <c r="C15" s="392"/>
      <c r="D15" s="200"/>
      <c r="E15" s="200"/>
      <c r="F15" s="200"/>
      <c r="G15" s="200"/>
      <c r="H15" s="200"/>
      <c r="I15" s="200"/>
      <c r="J15" s="200"/>
      <c r="K15" s="534"/>
      <c r="L15" s="534"/>
      <c r="M15" s="534"/>
      <c r="N15" s="534"/>
      <c r="O15" s="534"/>
      <c r="P15" s="534"/>
      <c r="Q15" s="554"/>
      <c r="R15" s="66">
        <f>SUM(Einnahmen[[#This Row],[D]:[Q]])</f>
        <v>0</v>
      </c>
    </row>
    <row r="16" spans="1:18" ht="15.75">
      <c r="A16" s="395">
        <v>9</v>
      </c>
      <c r="B16" s="220"/>
      <c r="C16" s="392"/>
      <c r="D16" s="200"/>
      <c r="E16" s="200"/>
      <c r="F16" s="200"/>
      <c r="G16" s="200"/>
      <c r="H16" s="200"/>
      <c r="I16" s="200"/>
      <c r="J16" s="200"/>
      <c r="K16" s="534"/>
      <c r="L16" s="534"/>
      <c r="M16" s="534"/>
      <c r="N16" s="534"/>
      <c r="O16" s="534"/>
      <c r="P16" s="534"/>
      <c r="Q16" s="554"/>
      <c r="R16" s="66">
        <f>SUM(Einnahmen[[#This Row],[D]:[Q]])</f>
        <v>0</v>
      </c>
    </row>
    <row r="17" spans="1:18" ht="15.75">
      <c r="A17" s="395">
        <v>10</v>
      </c>
      <c r="B17" s="220"/>
      <c r="C17" s="392"/>
      <c r="D17" s="200"/>
      <c r="E17" s="200"/>
      <c r="F17" s="200"/>
      <c r="G17" s="200"/>
      <c r="H17" s="200"/>
      <c r="I17" s="200"/>
      <c r="J17" s="200"/>
      <c r="K17" s="534"/>
      <c r="L17" s="534"/>
      <c r="M17" s="534"/>
      <c r="N17" s="534"/>
      <c r="O17" s="534"/>
      <c r="P17" s="534"/>
      <c r="Q17" s="554"/>
      <c r="R17" s="66">
        <f>SUM(Einnahmen[[#This Row],[D]:[Q]])</f>
        <v>0</v>
      </c>
    </row>
    <row r="18" spans="1:18" ht="15.75">
      <c r="A18" s="395">
        <v>11</v>
      </c>
      <c r="B18" s="220"/>
      <c r="C18" s="392"/>
      <c r="D18" s="200"/>
      <c r="E18" s="200"/>
      <c r="F18" s="200"/>
      <c r="G18" s="200"/>
      <c r="H18" s="200"/>
      <c r="I18" s="200"/>
      <c r="J18" s="200"/>
      <c r="K18" s="534"/>
      <c r="L18" s="534"/>
      <c r="M18" s="534"/>
      <c r="N18" s="534"/>
      <c r="O18" s="555"/>
      <c r="P18" s="555"/>
      <c r="Q18" s="556"/>
      <c r="R18" s="66">
        <f>SUM(Einnahmen[[#This Row],[D]:[Q]])</f>
        <v>0</v>
      </c>
    </row>
    <row r="19" spans="1:18" ht="15.75">
      <c r="A19" s="395">
        <v>12</v>
      </c>
      <c r="B19" s="220"/>
      <c r="C19" s="392"/>
      <c r="D19" s="200"/>
      <c r="E19" s="200"/>
      <c r="F19" s="200"/>
      <c r="G19" s="200"/>
      <c r="H19" s="200"/>
      <c r="I19" s="200"/>
      <c r="J19" s="200"/>
      <c r="K19" s="534"/>
      <c r="L19" s="534"/>
      <c r="M19" s="534"/>
      <c r="N19" s="534"/>
      <c r="O19" s="534"/>
      <c r="P19" s="534"/>
      <c r="Q19" s="554"/>
      <c r="R19" s="66">
        <f>SUM(Einnahmen[[#This Row],[D]:[Q]])</f>
        <v>0</v>
      </c>
    </row>
    <row r="20" spans="1:18" ht="15.75">
      <c r="A20" s="395">
        <v>13</v>
      </c>
      <c r="B20" s="220"/>
      <c r="C20" s="392"/>
      <c r="D20" s="200"/>
      <c r="E20" s="200"/>
      <c r="F20" s="200"/>
      <c r="G20" s="200"/>
      <c r="H20" s="200"/>
      <c r="I20" s="200"/>
      <c r="J20" s="200"/>
      <c r="K20" s="534"/>
      <c r="L20" s="534"/>
      <c r="M20" s="534"/>
      <c r="N20" s="534"/>
      <c r="O20" s="534"/>
      <c r="P20" s="534"/>
      <c r="Q20" s="554"/>
      <c r="R20" s="66">
        <f>SUM(Einnahmen[[#This Row],[D]:[Q]])</f>
        <v>0</v>
      </c>
    </row>
    <row r="21" spans="1:18" ht="15.75">
      <c r="A21" s="395">
        <v>14</v>
      </c>
      <c r="B21" s="220"/>
      <c r="C21" s="392"/>
      <c r="D21" s="200"/>
      <c r="E21" s="200"/>
      <c r="F21" s="200"/>
      <c r="G21" s="200"/>
      <c r="H21" s="200"/>
      <c r="I21" s="200"/>
      <c r="J21" s="200"/>
      <c r="K21" s="534"/>
      <c r="L21" s="534"/>
      <c r="M21" s="534"/>
      <c r="N21" s="534"/>
      <c r="O21" s="534"/>
      <c r="P21" s="534"/>
      <c r="Q21" s="554"/>
      <c r="R21" s="66">
        <f>SUM(Einnahmen[[#This Row],[D]:[Q]])</f>
        <v>0</v>
      </c>
    </row>
    <row r="22" spans="1:18" ht="15.75">
      <c r="A22" s="395">
        <v>15</v>
      </c>
      <c r="B22" s="220"/>
      <c r="C22" s="392"/>
      <c r="D22" s="200"/>
      <c r="E22" s="200"/>
      <c r="F22" s="200"/>
      <c r="G22" s="200"/>
      <c r="H22" s="200"/>
      <c r="I22" s="200"/>
      <c r="J22" s="200"/>
      <c r="K22" s="534"/>
      <c r="L22" s="534"/>
      <c r="M22" s="534"/>
      <c r="N22" s="534"/>
      <c r="O22" s="534"/>
      <c r="P22" s="534"/>
      <c r="Q22" s="554"/>
      <c r="R22" s="66">
        <f>SUM(Einnahmen[[#This Row],[D]:[Q]])</f>
        <v>0</v>
      </c>
    </row>
    <row r="23" spans="1:18" ht="15.75">
      <c r="A23" s="395">
        <v>16</v>
      </c>
      <c r="B23" s="220"/>
      <c r="C23" s="392"/>
      <c r="D23" s="200"/>
      <c r="E23" s="200"/>
      <c r="F23" s="200"/>
      <c r="G23" s="200"/>
      <c r="H23" s="200"/>
      <c r="I23" s="200"/>
      <c r="J23" s="200"/>
      <c r="K23" s="534"/>
      <c r="L23" s="534"/>
      <c r="M23" s="534"/>
      <c r="N23" s="534"/>
      <c r="O23" s="555"/>
      <c r="P23" s="555"/>
      <c r="Q23" s="556"/>
      <c r="R23" s="161">
        <f>SUM(Einnahmen[[#This Row],[D]:[Q]])</f>
        <v>0</v>
      </c>
    </row>
    <row r="24" spans="1:18" ht="15.75">
      <c r="A24" s="395">
        <v>17</v>
      </c>
      <c r="B24" s="220"/>
      <c r="C24" s="392"/>
      <c r="D24" s="200"/>
      <c r="E24" s="200"/>
      <c r="F24" s="200"/>
      <c r="G24" s="200"/>
      <c r="H24" s="200"/>
      <c r="I24" s="200"/>
      <c r="J24" s="200"/>
      <c r="K24" s="534"/>
      <c r="L24" s="534"/>
      <c r="M24" s="534"/>
      <c r="N24" s="534"/>
      <c r="O24" s="555"/>
      <c r="P24" s="555"/>
      <c r="Q24" s="556"/>
      <c r="R24" s="161">
        <f>SUM(Einnahmen[[#This Row],[D]:[Q]])</f>
        <v>0</v>
      </c>
    </row>
    <row r="25" spans="1:18" ht="15.75">
      <c r="A25" s="395">
        <v>18</v>
      </c>
      <c r="B25" s="220"/>
      <c r="C25" s="392"/>
      <c r="D25" s="200"/>
      <c r="E25" s="200"/>
      <c r="F25" s="200"/>
      <c r="G25" s="200"/>
      <c r="H25" s="200"/>
      <c r="I25" s="200"/>
      <c r="J25" s="200"/>
      <c r="K25" s="534"/>
      <c r="L25" s="534"/>
      <c r="M25" s="534"/>
      <c r="N25" s="534"/>
      <c r="O25" s="555"/>
      <c r="P25" s="555"/>
      <c r="Q25" s="556"/>
      <c r="R25" s="161">
        <f>SUM(Einnahmen[[#This Row],[D]:[Q]])</f>
        <v>0</v>
      </c>
    </row>
    <row r="26" spans="1:18" ht="15.75">
      <c r="A26" s="395">
        <v>19</v>
      </c>
      <c r="B26" s="220"/>
      <c r="C26" s="392"/>
      <c r="D26" s="200"/>
      <c r="E26" s="200"/>
      <c r="F26" s="200"/>
      <c r="G26" s="200"/>
      <c r="H26" s="200"/>
      <c r="I26" s="200"/>
      <c r="J26" s="200"/>
      <c r="K26" s="534"/>
      <c r="L26" s="534"/>
      <c r="M26" s="534"/>
      <c r="N26" s="534"/>
      <c r="O26" s="555"/>
      <c r="P26" s="555"/>
      <c r="Q26" s="556"/>
      <c r="R26" s="161">
        <f>SUM(Einnahmen[[#This Row],[D]:[Q]])</f>
        <v>0</v>
      </c>
    </row>
    <row r="27" spans="1:18" ht="15.75">
      <c r="A27" s="395">
        <v>20</v>
      </c>
      <c r="B27" s="220"/>
      <c r="C27" s="392"/>
      <c r="D27" s="200"/>
      <c r="E27" s="200"/>
      <c r="F27" s="200"/>
      <c r="G27" s="200"/>
      <c r="H27" s="200"/>
      <c r="I27" s="200"/>
      <c r="J27" s="200"/>
      <c r="K27" s="534"/>
      <c r="L27" s="534"/>
      <c r="M27" s="534"/>
      <c r="N27" s="534"/>
      <c r="O27" s="555"/>
      <c r="P27" s="555"/>
      <c r="Q27" s="556"/>
      <c r="R27" s="161">
        <f>SUM(Einnahmen[[#This Row],[D]:[Q]])</f>
        <v>0</v>
      </c>
    </row>
    <row r="28" spans="1:18" ht="15.75">
      <c r="A28" s="395">
        <v>21</v>
      </c>
      <c r="B28" s="220"/>
      <c r="C28" s="392"/>
      <c r="D28" s="200"/>
      <c r="E28" s="200"/>
      <c r="F28" s="200"/>
      <c r="G28" s="200"/>
      <c r="H28" s="200"/>
      <c r="I28" s="200"/>
      <c r="J28" s="200"/>
      <c r="K28" s="534"/>
      <c r="L28" s="534"/>
      <c r="M28" s="534"/>
      <c r="N28" s="534"/>
      <c r="O28" s="555"/>
      <c r="P28" s="555"/>
      <c r="Q28" s="556"/>
      <c r="R28" s="161">
        <f>SUM(Einnahmen[[#This Row],[D]:[Q]])</f>
        <v>0</v>
      </c>
    </row>
    <row r="29" spans="1:18" ht="15.75">
      <c r="A29" s="395">
        <v>22</v>
      </c>
      <c r="B29" s="220"/>
      <c r="C29" s="392"/>
      <c r="D29" s="200"/>
      <c r="E29" s="200"/>
      <c r="F29" s="200"/>
      <c r="G29" s="200"/>
      <c r="H29" s="200"/>
      <c r="I29" s="200"/>
      <c r="J29" s="200"/>
      <c r="K29" s="534"/>
      <c r="L29" s="534"/>
      <c r="M29" s="534"/>
      <c r="N29" s="534"/>
      <c r="O29" s="555"/>
      <c r="P29" s="555"/>
      <c r="Q29" s="556"/>
      <c r="R29" s="161">
        <f>SUM(Einnahmen[[#This Row],[D]:[Q]])</f>
        <v>0</v>
      </c>
    </row>
    <row r="30" spans="1:18" ht="15.75">
      <c r="A30" s="395">
        <v>23</v>
      </c>
      <c r="B30" s="220"/>
      <c r="C30" s="392"/>
      <c r="D30" s="200"/>
      <c r="E30" s="200"/>
      <c r="F30" s="200"/>
      <c r="G30" s="200"/>
      <c r="H30" s="200"/>
      <c r="I30" s="200"/>
      <c r="J30" s="200"/>
      <c r="K30" s="534"/>
      <c r="L30" s="534"/>
      <c r="M30" s="534"/>
      <c r="N30" s="534"/>
      <c r="O30" s="555"/>
      <c r="P30" s="555"/>
      <c r="Q30" s="556"/>
      <c r="R30" s="161">
        <f>SUM(Einnahmen[[#This Row],[D]:[Q]])</f>
        <v>0</v>
      </c>
    </row>
    <row r="31" spans="1:18" ht="15.75">
      <c r="A31" s="395">
        <v>24</v>
      </c>
      <c r="B31" s="220"/>
      <c r="C31" s="392"/>
      <c r="D31" s="200"/>
      <c r="E31" s="200"/>
      <c r="F31" s="200"/>
      <c r="G31" s="200"/>
      <c r="H31" s="200"/>
      <c r="I31" s="200"/>
      <c r="J31" s="200"/>
      <c r="K31" s="534"/>
      <c r="L31" s="534"/>
      <c r="M31" s="534"/>
      <c r="N31" s="534"/>
      <c r="O31" s="555"/>
      <c r="P31" s="555"/>
      <c r="Q31" s="556"/>
      <c r="R31" s="161">
        <f>SUM(Einnahmen[[#This Row],[D]:[Q]])</f>
        <v>0</v>
      </c>
    </row>
    <row r="32" spans="1:18" ht="16.5" thickBot="1">
      <c r="A32" s="395">
        <v>25</v>
      </c>
      <c r="B32" s="220"/>
      <c r="C32" s="393"/>
      <c r="D32" s="394"/>
      <c r="E32" s="394"/>
      <c r="F32" s="394"/>
      <c r="G32" s="394"/>
      <c r="H32" s="394"/>
      <c r="I32" s="394"/>
      <c r="J32" s="394"/>
      <c r="K32" s="557"/>
      <c r="L32" s="557"/>
      <c r="M32" s="557"/>
      <c r="N32" s="557"/>
      <c r="O32" s="537"/>
      <c r="P32" s="537"/>
      <c r="Q32" s="558"/>
      <c r="R32" s="161">
        <f>SUM(Einnahmen[[#This Row],[D]:[Q]])</f>
        <v>0</v>
      </c>
    </row>
    <row r="33" spans="1:18" ht="21" customHeight="1" thickTop="1" thickBot="1">
      <c r="A33" s="540" t="s">
        <v>102</v>
      </c>
      <c r="B33" s="541"/>
      <c r="C33" s="542"/>
      <c r="D33" s="543">
        <f>SUBTOTAL(109,Einnahmen[D])</f>
        <v>0</v>
      </c>
      <c r="E33" s="544">
        <f>SUBTOTAL(109,Einnahmen[E])</f>
        <v>0</v>
      </c>
      <c r="F33" s="544">
        <f>SUBTOTAL(109,Einnahmen[F])</f>
        <v>0</v>
      </c>
      <c r="G33" s="544">
        <f>SUBTOTAL(109,Einnahmen[G])</f>
        <v>0</v>
      </c>
      <c r="H33" s="544">
        <f>SUBTOTAL(109,Einnahmen[H])</f>
        <v>0</v>
      </c>
      <c r="I33" s="544">
        <f>SUBTOTAL(109,Einnahmen[I])</f>
        <v>0</v>
      </c>
      <c r="J33" s="544">
        <f>SUBTOTAL(109,Einnahmen[J])</f>
        <v>0</v>
      </c>
      <c r="K33" s="544">
        <f>SUBTOTAL(109,Einnahmen[K])</f>
        <v>0</v>
      </c>
      <c r="L33" s="544">
        <f>SUBTOTAL(109,Einnahmen[L])</f>
        <v>0</v>
      </c>
      <c r="M33" s="544">
        <f>SUBTOTAL(109,Einnahmen[M])</f>
        <v>0</v>
      </c>
      <c r="N33" s="544">
        <f>SUBTOTAL(109,Einnahmen[N])</f>
        <v>0</v>
      </c>
      <c r="O33" s="544">
        <f>SUBTOTAL(109,Einnahmen[O])</f>
        <v>0</v>
      </c>
      <c r="P33" s="544">
        <f>SUBTOTAL(109,Einnahmen[P])</f>
        <v>0</v>
      </c>
      <c r="Q33" s="545">
        <f>SUBTOTAL(109,Einnahmen[Q])</f>
        <v>0</v>
      </c>
      <c r="R33" s="546">
        <f>SUBTOTAL(109,Einnahmen[R])</f>
        <v>0</v>
      </c>
    </row>
    <row r="34" spans="1:18" ht="20.45" customHeight="1" thickTop="1" thickBot="1">
      <c r="A34" s="221" t="s">
        <v>103</v>
      </c>
      <c r="B34" s="222"/>
      <c r="C34" s="375" t="s">
        <v>104</v>
      </c>
      <c r="D34" s="235">
        <f>SUMIF(Einnahmen[C],$C34,Einnahmen[D])</f>
        <v>0</v>
      </c>
      <c r="E34" s="236">
        <f>SUMIF(Einnahmen[C],$C34,Einnahmen[E])</f>
        <v>0</v>
      </c>
      <c r="F34" s="236">
        <f>SUMIF(Einnahmen[C],$C34,Einnahmen[F])</f>
        <v>0</v>
      </c>
      <c r="G34" s="236">
        <f>SUMIF(Einnahmen[C],$C34,Einnahmen[G])</f>
        <v>0</v>
      </c>
      <c r="H34" s="236">
        <f>SUMIF(Einnahmen[C],$C34,Einnahmen[H])</f>
        <v>0</v>
      </c>
      <c r="I34" s="236">
        <f>SUMIF(Einnahmen[C],$C34,Einnahmen[I])</f>
        <v>0</v>
      </c>
      <c r="J34" s="236">
        <f>SUMIF(Einnahmen[C],$C34,Einnahmen[J])</f>
        <v>0</v>
      </c>
      <c r="K34" s="236">
        <f>SUMIF(Einnahmen[C],$C34,Einnahmen[K])</f>
        <v>0</v>
      </c>
      <c r="L34" s="236">
        <f>SUMIF(Einnahmen[C],$C34,Einnahmen[L])</f>
        <v>0</v>
      </c>
      <c r="M34" s="236">
        <f>SUMIF(Einnahmen[C],$C34,Einnahmen[M])</f>
        <v>0</v>
      </c>
      <c r="N34" s="236">
        <f>SUMIF(Einnahmen[C],$C34,Einnahmen[N])</f>
        <v>0</v>
      </c>
      <c r="O34" s="236">
        <f>SUMIF(Einnahmen[C],$C34,Einnahmen[O])</f>
        <v>0</v>
      </c>
      <c r="P34" s="236">
        <f>SUMIF(Einnahmen[C],$C34,Einnahmen[P])</f>
        <v>0</v>
      </c>
      <c r="Q34" s="237">
        <f>SUMIF(Einnahmen[C],$C34,Einnahmen[Q])</f>
        <v>0</v>
      </c>
      <c r="R34" s="223">
        <f>SUMIF(Einnahmen[C],$C34,Einnahmen[R])</f>
        <v>0</v>
      </c>
    </row>
    <row r="35" spans="1:18" ht="20.45" customHeight="1" thickBot="1">
      <c r="A35" s="224" t="s">
        <v>105</v>
      </c>
      <c r="B35" s="225"/>
      <c r="C35" s="226"/>
      <c r="D35" s="238">
        <f>Einnahmen[[#Totals],[D]]-D34</f>
        <v>0</v>
      </c>
      <c r="E35" s="239">
        <f>Einnahmen[[#Totals],[E]]-E34</f>
        <v>0</v>
      </c>
      <c r="F35" s="239">
        <f>Einnahmen[[#Totals],[F]]-F34</f>
        <v>0</v>
      </c>
      <c r="G35" s="239">
        <f>Einnahmen[[#Totals],[G]]-G34</f>
        <v>0</v>
      </c>
      <c r="H35" s="239">
        <f>Einnahmen[[#Totals],[H]]-H34</f>
        <v>0</v>
      </c>
      <c r="I35" s="239">
        <f>Einnahmen[[#Totals],[I]]-I34</f>
        <v>0</v>
      </c>
      <c r="J35" s="239">
        <f>Einnahmen[[#Totals],[J]]-J34</f>
        <v>0</v>
      </c>
      <c r="K35" s="239">
        <f>Einnahmen[[#Totals],[K]]-K34</f>
        <v>0</v>
      </c>
      <c r="L35" s="239">
        <f>Einnahmen[[#Totals],[L]]-L34</f>
        <v>0</v>
      </c>
      <c r="M35" s="239">
        <f>Einnahmen[[#Totals],[M]]-M34</f>
        <v>0</v>
      </c>
      <c r="N35" s="239">
        <f>Einnahmen[[#Totals],[N]]-N34</f>
        <v>0</v>
      </c>
      <c r="O35" s="239">
        <f>Einnahmen[[#Totals],[O]]-O34</f>
        <v>0</v>
      </c>
      <c r="P35" s="239">
        <f>Einnahmen[[#Totals],[P]]-P34</f>
        <v>0</v>
      </c>
      <c r="Q35" s="240">
        <f>Einnahmen[[#Totals],[Q]]-Q34</f>
        <v>0</v>
      </c>
      <c r="R35" s="227">
        <f>Einnahmen[[#Totals],[R]]-R34</f>
        <v>0</v>
      </c>
    </row>
  </sheetData>
  <sheetProtection password="8640" sheet="1" formatColumns="0" autoFilter="0"/>
  <dataValidations count="3">
    <dataValidation allowBlank="1" showInputMessage="1" showErrorMessage="1" promptTitle="Eingabe" prompt="Geplante Ausgaben" sqref="O8:Q32" xr:uid="{00000000-0002-0000-0300-000000000000}"/>
    <dataValidation type="list" allowBlank="1" showInputMessage="1" showErrorMessage="1" promptTitle="Eingabe" prompt="Einnahmen, die auf den Eigenanteil angerechnet werden sollen, werden mit einem x markiert." sqref="C8:C32" xr:uid="{00000000-0002-0000-0300-000001000000}">
      <formula1>"x"</formula1>
    </dataValidation>
    <dataValidation allowBlank="1" sqref="D8:N32" xr:uid="{00000000-0002-0000-0300-000002000000}"/>
  </dataValidations>
  <hyperlinks>
    <hyperlink ref="G1" location="Start!A1" display="Start" xr:uid="{00000000-0004-0000-0300-000000000000}"/>
    <hyperlink ref="I1" location="'weitere Ausgaben'!A1" display="weit. Ausgaben" xr:uid="{00000000-0004-0000-0300-000001000000}"/>
    <hyperlink ref="K1" location="Bewilligungen!A1" display="Bewilligungen" xr:uid="{00000000-0004-0000-0300-000002000000}"/>
    <hyperlink ref="L1" location="Förderantrag!A1" display="Förderantrag" xr:uid="{00000000-0004-0000-0300-000003000000}"/>
    <hyperlink ref="M1" location="'KuF Zusammenfassung'!A1" display="KuF Zus." xr:uid="{00000000-0004-0000-0300-000004000000}"/>
    <hyperlink ref="H1" location="'grunds. zuwendungsf. Ausgaben'!A1" display="Ausgaben" xr:uid="{00000000-0004-0000-0300-000005000000}"/>
  </hyperlinks>
  <pageMargins left="0.70866141732283472" right="0.70866141732283472" top="0.78740157480314965" bottom="0.78740157480314965" header="0.31496062992125984" footer="0.31496062992125984"/>
  <pageSetup paperSize="8" scale="82" fitToHeight="0"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50E59A29-D46B-45A5-9DEF-387B10FF5D26}">
            <xm:f>D$6=Start!$B$11</xm:f>
            <x14:dxf>
              <fill>
                <patternFill>
                  <bgColor theme="7" tint="0.79998168889431442"/>
                </patternFill>
              </fill>
            </x14:dxf>
          </x14:cfRule>
          <xm:sqref>D8:Q35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T19"/>
  <sheetViews>
    <sheetView showGridLines="0" zoomScaleNormal="100" workbookViewId="0" xr3:uid="{F9CF3CF3-643B-5BE6-8B46-32C596A47465}">
      <pane ySplit="2" topLeftCell="A3" activePane="bottomLeft" state="frozen"/>
      <selection pane="bottomLeft" activeCell="C9" sqref="C9"/>
    </sheetView>
  </sheetViews>
  <sheetFormatPr defaultColWidth="11.5703125" defaultRowHeight="15"/>
  <cols>
    <col min="1" max="1" width="10.28515625" style="2" customWidth="1"/>
    <col min="2" max="2" width="21.42578125" style="2" customWidth="1"/>
    <col min="3" max="16" width="13.42578125" style="2" customWidth="1"/>
    <col min="17" max="17" width="13.42578125" style="2" hidden="1" customWidth="1"/>
    <col min="18" max="20" width="13.42578125" style="2" customWidth="1"/>
    <col min="21" max="16384" width="11.5703125" style="2"/>
  </cols>
  <sheetData>
    <row r="1" spans="1:20" customFormat="1" ht="22.9" customHeight="1">
      <c r="A1" s="286" t="str">
        <f>CONCATENATE("Anlass der Kosten- und Finanzierungsübersicht: ",Start!$B$3," zum ",Start!$B$12 )</f>
        <v>Anlass der Kosten- und Finanzierungsübersicht: Erstantrag zum 31.01.</v>
      </c>
      <c r="B1" s="286"/>
      <c r="C1" s="319"/>
      <c r="D1" s="287"/>
      <c r="E1" s="286"/>
      <c r="F1" s="286"/>
      <c r="G1" s="286"/>
      <c r="H1" s="332" t="s">
        <v>26</v>
      </c>
      <c r="I1" s="452" t="s">
        <v>27</v>
      </c>
      <c r="J1" s="332" t="s">
        <v>28</v>
      </c>
      <c r="K1" s="332" t="s">
        <v>29</v>
      </c>
      <c r="L1" s="333" t="s">
        <v>30</v>
      </c>
      <c r="M1" s="332" t="s">
        <v>31</v>
      </c>
      <c r="N1" s="332" t="s">
        <v>32</v>
      </c>
    </row>
    <row r="2" spans="1:20" customFormat="1">
      <c r="A2" s="318" t="str">
        <f>IF(Start!B3="Erstantrag","Zum Erstantrag erfolgt hier noch keine Eintragung.","Ergänzen Sie den Datensatz für das vorangegangene Jahr (blau hinterlegt). Daten können auch in ausgegraute Folgejahre eingetragen werden. Sollte kein Bescheid erteilt worden sein, wählen Sie in Spalte B Förderpause.")</f>
        <v>Zum Erstantrag erfolgt hier noch keine Eintragung.</v>
      </c>
      <c r="B2" s="317"/>
      <c r="L2" s="2"/>
    </row>
    <row r="4" spans="1:20" ht="25.15" customHeight="1">
      <c r="A4" s="99" t="s">
        <v>30</v>
      </c>
    </row>
    <row r="5" spans="1:20" ht="15" customHeight="1">
      <c r="A5" s="507" t="s">
        <v>106</v>
      </c>
      <c r="B5" s="510" t="s">
        <v>107</v>
      </c>
      <c r="C5" s="508" t="s">
        <v>108</v>
      </c>
      <c r="D5" s="509" t="s">
        <v>109</v>
      </c>
      <c r="E5" s="204">
        <f>IF(Start!$B$22="",Start!$B$11,YEAR(Start!$B$22))</f>
        <v>0</v>
      </c>
      <c r="F5" s="205">
        <f>E5+1</f>
        <v>1</v>
      </c>
      <c r="G5" s="205">
        <f t="shared" ref="G5:Q5" si="0">F5+1</f>
        <v>2</v>
      </c>
      <c r="H5" s="205">
        <f t="shared" si="0"/>
        <v>3</v>
      </c>
      <c r="I5" s="205">
        <f t="shared" si="0"/>
        <v>4</v>
      </c>
      <c r="J5" s="205">
        <f t="shared" si="0"/>
        <v>5</v>
      </c>
      <c r="K5" s="205">
        <f t="shared" si="0"/>
        <v>6</v>
      </c>
      <c r="L5" s="205">
        <f t="shared" si="0"/>
        <v>7</v>
      </c>
      <c r="M5" s="205">
        <f t="shared" si="0"/>
        <v>8</v>
      </c>
      <c r="N5" s="205">
        <f t="shared" si="0"/>
        <v>9</v>
      </c>
      <c r="O5" s="376">
        <f t="shared" si="0"/>
        <v>10</v>
      </c>
      <c r="P5" s="376">
        <f t="shared" si="0"/>
        <v>11</v>
      </c>
      <c r="Q5" s="377">
        <f t="shared" si="0"/>
        <v>12</v>
      </c>
      <c r="R5" s="181"/>
      <c r="S5" s="400"/>
      <c r="T5" s="400" t="s">
        <v>110</v>
      </c>
    </row>
    <row r="6" spans="1:20" ht="13.15" customHeight="1">
      <c r="A6" s="507"/>
      <c r="B6" s="510"/>
      <c r="C6" s="508"/>
      <c r="D6" s="509"/>
      <c r="E6" s="206" t="str">
        <f>IF(E5&lt;Start!$B$11,"ausgezahlt",IF(E5=Start!$B$11,"Kassenmittel","VE"))</f>
        <v>Kassenmittel</v>
      </c>
      <c r="F6" s="207" t="str">
        <f>IF(F5&lt;Start!$B$11,"ausgezahlt",IF(F5=Start!$B$11,"Kassenmittel","VE"))</f>
        <v>VE</v>
      </c>
      <c r="G6" s="207" t="str">
        <f>IF(G5&lt;Start!$B$11,"ausgezahlt",IF(G5=Start!$B$11,"Kassenmittel","VE"))</f>
        <v>VE</v>
      </c>
      <c r="H6" s="207" t="str">
        <f>IF(H5&lt;Start!$B$11,"ausgezahlt",IF(H5=Start!$B$11,"Kassenmittel","VE"))</f>
        <v>VE</v>
      </c>
      <c r="I6" s="207" t="str">
        <f>IF(I5&lt;Start!$B$11,"ausgezahlt",IF(I5=Start!$B$11,"Kassenmittel","VE"))</f>
        <v>VE</v>
      </c>
      <c r="J6" s="207" t="str">
        <f>IF(J5&lt;Start!$B$11,"ausgezahlt",IF(J5=Start!$B$11,"Kassenmittel","VE"))</f>
        <v>VE</v>
      </c>
      <c r="K6" s="207" t="str">
        <f>IF(K5&lt;Start!$B$11,"ausgezahlt",IF(K5=Start!$B$11,"Kassenmittel","VE"))</f>
        <v>VE</v>
      </c>
      <c r="L6" s="207" t="str">
        <f>IF(L5&lt;Start!$B$11,"ausgezahlt",IF(L5=Start!$B$11,"Kassenmittel","VE"))</f>
        <v>VE</v>
      </c>
      <c r="M6" s="207" t="str">
        <f>IF(M5&lt;Start!$B$11,"ausgezahlt",IF(M5=Start!$B$11,"Kassenmittel","VE"))</f>
        <v>VE</v>
      </c>
      <c r="N6" s="207" t="str">
        <f>IF(N5&lt;Start!$B$11,"ausgezahlt",IF(N5=Start!$B$11,"Kassenmittel","VE"))</f>
        <v>VE</v>
      </c>
      <c r="O6" s="378" t="str">
        <f>IF(O5&lt;Start!$B$11,"ausgezahlt",IF(O5=Start!$B$11,"Kassenmittel","VE"))</f>
        <v>VE</v>
      </c>
      <c r="P6" s="378" t="str">
        <f>IF(P5&lt;Start!$B$11,"ausgezahlt",IF(P5=Start!$B$11,"Kassenmittel","VE"))</f>
        <v>VE</v>
      </c>
      <c r="Q6" s="379" t="str">
        <f>IF(Q5&lt;Start!$B$11,"ausgezahlt",IF(Q5=Start!$B$11,"Kassenmittel","VE"))</f>
        <v>VE</v>
      </c>
      <c r="R6" s="177" t="s">
        <v>111</v>
      </c>
      <c r="S6" s="401" t="s">
        <v>112</v>
      </c>
      <c r="T6" s="401" t="s">
        <v>27</v>
      </c>
    </row>
    <row r="7" spans="1:20" ht="12" customHeight="1">
      <c r="A7" s="507"/>
      <c r="B7" s="510"/>
      <c r="C7" s="508"/>
      <c r="D7" s="509"/>
      <c r="E7" s="208" t="s">
        <v>52</v>
      </c>
      <c r="F7" s="209" t="s">
        <v>52</v>
      </c>
      <c r="G7" s="209" t="s">
        <v>52</v>
      </c>
      <c r="H7" s="209" t="s">
        <v>52</v>
      </c>
      <c r="I7" s="209" t="s">
        <v>52</v>
      </c>
      <c r="J7" s="209" t="s">
        <v>52</v>
      </c>
      <c r="K7" s="209" t="s">
        <v>52</v>
      </c>
      <c r="L7" s="209" t="s">
        <v>52</v>
      </c>
      <c r="M7" s="209" t="s">
        <v>52</v>
      </c>
      <c r="N7" s="209" t="s">
        <v>52</v>
      </c>
      <c r="O7" s="380" t="s">
        <v>52</v>
      </c>
      <c r="P7" s="380" t="s">
        <v>52</v>
      </c>
      <c r="Q7" s="381" t="s">
        <v>52</v>
      </c>
      <c r="R7" s="182" t="s">
        <v>52</v>
      </c>
      <c r="S7" s="402"/>
      <c r="T7" s="402" t="s">
        <v>52</v>
      </c>
    </row>
    <row r="8" spans="1:20" s="180" customFormat="1" ht="12" customHeight="1">
      <c r="A8" s="183" t="s">
        <v>54</v>
      </c>
      <c r="B8" s="187" t="s">
        <v>55</v>
      </c>
      <c r="C8" s="188" t="s">
        <v>56</v>
      </c>
      <c r="D8" s="189" t="s">
        <v>57</v>
      </c>
      <c r="E8" s="210" t="s">
        <v>58</v>
      </c>
      <c r="F8" s="211" t="s">
        <v>59</v>
      </c>
      <c r="G8" s="211" t="s">
        <v>60</v>
      </c>
      <c r="H8" s="211" t="s">
        <v>61</v>
      </c>
      <c r="I8" s="211" t="s">
        <v>62</v>
      </c>
      <c r="J8" s="211" t="s">
        <v>63</v>
      </c>
      <c r="K8" s="211" t="s">
        <v>64</v>
      </c>
      <c r="L8" s="211" t="s">
        <v>65</v>
      </c>
      <c r="M8" s="211" t="s">
        <v>66</v>
      </c>
      <c r="N8" s="211" t="s">
        <v>67</v>
      </c>
      <c r="O8" s="211" t="s">
        <v>68</v>
      </c>
      <c r="P8" s="211" t="s">
        <v>69</v>
      </c>
      <c r="Q8" s="212" t="s">
        <v>70</v>
      </c>
      <c r="R8" s="186" t="s">
        <v>71</v>
      </c>
      <c r="S8" s="183" t="s">
        <v>72</v>
      </c>
      <c r="T8" s="183" t="s">
        <v>73</v>
      </c>
    </row>
    <row r="9" spans="1:20" ht="25.15" customHeight="1">
      <c r="A9" s="184">
        <f>IF(Start!$B$22="",Start!$B$11,YEAR(Start!$B$22))</f>
        <v>0</v>
      </c>
      <c r="B9" s="214" t="s">
        <v>113</v>
      </c>
      <c r="C9" s="213" t="str">
        <f>IF(Start!B22&lt;&gt;"",Start!B22,"")</f>
        <v/>
      </c>
      <c r="D9" s="190"/>
      <c r="E9" s="198"/>
      <c r="F9" s="199"/>
      <c r="G9" s="199"/>
      <c r="H9" s="199"/>
      <c r="I9" s="482"/>
      <c r="J9" s="482"/>
      <c r="K9" s="486"/>
      <c r="L9" s="397"/>
      <c r="M9" s="397"/>
      <c r="N9" s="397"/>
      <c r="O9" s="397"/>
      <c r="P9" s="397"/>
      <c r="Q9" s="397"/>
      <c r="R9" s="185">
        <f>SUM(E9:Q9)</f>
        <v>0</v>
      </c>
      <c r="S9" s="398"/>
      <c r="T9" s="403" t="str">
        <f>IFERROR(R9/S9,"")</f>
        <v/>
      </c>
    </row>
    <row r="10" spans="1:20" ht="25.15" customHeight="1">
      <c r="A10" s="179">
        <f t="shared" ref="A10:A17" si="1">A9+1</f>
        <v>1</v>
      </c>
      <c r="B10" s="191"/>
      <c r="C10" s="192"/>
      <c r="D10" s="193"/>
      <c r="E10" s="197"/>
      <c r="F10" s="198"/>
      <c r="G10" s="199"/>
      <c r="H10" s="199"/>
      <c r="I10" s="199"/>
      <c r="J10" s="482"/>
      <c r="K10" s="272"/>
      <c r="L10" s="486"/>
      <c r="M10" s="397"/>
      <c r="N10" s="397"/>
      <c r="O10" s="397"/>
      <c r="P10" s="397"/>
      <c r="Q10" s="397"/>
      <c r="R10" s="178">
        <f t="shared" ref="R10:R17" si="2">SUM(E10:Q10)</f>
        <v>0</v>
      </c>
      <c r="S10" s="398"/>
      <c r="T10" s="403" t="str">
        <f t="shared" ref="T10:T17" si="3">IFERROR(R10/S10,"")</f>
        <v/>
      </c>
    </row>
    <row r="11" spans="1:20" ht="25.15" customHeight="1">
      <c r="A11" s="179">
        <f t="shared" si="1"/>
        <v>2</v>
      </c>
      <c r="B11" s="191"/>
      <c r="C11" s="192"/>
      <c r="D11" s="193"/>
      <c r="E11" s="197"/>
      <c r="F11" s="197"/>
      <c r="G11" s="198"/>
      <c r="H11" s="199"/>
      <c r="I11" s="199"/>
      <c r="J11" s="199"/>
      <c r="K11" s="484"/>
      <c r="L11" s="272"/>
      <c r="M11" s="486"/>
      <c r="N11" s="397"/>
      <c r="O11" s="397"/>
      <c r="P11" s="397"/>
      <c r="Q11" s="397"/>
      <c r="R11" s="178">
        <f t="shared" si="2"/>
        <v>0</v>
      </c>
      <c r="S11" s="398"/>
      <c r="T11" s="403" t="str">
        <f t="shared" si="3"/>
        <v/>
      </c>
    </row>
    <row r="12" spans="1:20" ht="25.15" customHeight="1">
      <c r="A12" s="179">
        <f t="shared" si="1"/>
        <v>3</v>
      </c>
      <c r="B12" s="191"/>
      <c r="C12" s="192"/>
      <c r="D12" s="193"/>
      <c r="E12" s="197"/>
      <c r="F12" s="197"/>
      <c r="G12" s="197"/>
      <c r="H12" s="198"/>
      <c r="I12" s="199"/>
      <c r="J12" s="199"/>
      <c r="K12" s="199"/>
      <c r="L12" s="484"/>
      <c r="M12" s="272"/>
      <c r="N12" s="486"/>
      <c r="O12" s="397"/>
      <c r="P12" s="397"/>
      <c r="Q12" s="397"/>
      <c r="R12" s="178">
        <f t="shared" si="2"/>
        <v>0</v>
      </c>
      <c r="S12" s="398"/>
      <c r="T12" s="403" t="str">
        <f t="shared" si="3"/>
        <v/>
      </c>
    </row>
    <row r="13" spans="1:20" ht="25.15" customHeight="1">
      <c r="A13" s="179">
        <f t="shared" si="1"/>
        <v>4</v>
      </c>
      <c r="B13" s="191"/>
      <c r="C13" s="192"/>
      <c r="D13" s="193"/>
      <c r="E13" s="197"/>
      <c r="F13" s="197"/>
      <c r="G13" s="197"/>
      <c r="H13" s="197"/>
      <c r="I13" s="198"/>
      <c r="J13" s="199"/>
      <c r="K13" s="199"/>
      <c r="L13" s="199"/>
      <c r="M13" s="484"/>
      <c r="N13" s="272"/>
      <c r="O13" s="486"/>
      <c r="P13" s="397"/>
      <c r="Q13" s="397"/>
      <c r="R13" s="178">
        <f t="shared" si="2"/>
        <v>0</v>
      </c>
      <c r="S13" s="398"/>
      <c r="T13" s="403" t="str">
        <f t="shared" si="3"/>
        <v/>
      </c>
    </row>
    <row r="14" spans="1:20" ht="25.15" customHeight="1" thickBot="1">
      <c r="A14" s="179">
        <f t="shared" si="1"/>
        <v>5</v>
      </c>
      <c r="B14" s="191"/>
      <c r="C14" s="192"/>
      <c r="D14" s="193"/>
      <c r="E14" s="197"/>
      <c r="F14" s="197"/>
      <c r="G14" s="197"/>
      <c r="H14" s="197"/>
      <c r="I14" s="197"/>
      <c r="J14" s="198"/>
      <c r="K14" s="200"/>
      <c r="L14" s="200"/>
      <c r="M14" s="200"/>
      <c r="N14" s="483"/>
      <c r="O14" s="272"/>
      <c r="P14" s="486"/>
      <c r="Q14" s="397"/>
      <c r="R14" s="178">
        <f t="shared" si="2"/>
        <v>0</v>
      </c>
      <c r="S14" s="398"/>
      <c r="T14" s="403" t="str">
        <f t="shared" si="3"/>
        <v/>
      </c>
    </row>
    <row r="15" spans="1:20" ht="25.15" hidden="1" customHeight="1">
      <c r="A15" s="273">
        <f t="shared" si="1"/>
        <v>6</v>
      </c>
      <c r="B15" s="191"/>
      <c r="C15" s="192"/>
      <c r="D15" s="193"/>
      <c r="E15" s="197"/>
      <c r="F15" s="197"/>
      <c r="G15" s="197"/>
      <c r="H15" s="197"/>
      <c r="I15" s="197"/>
      <c r="J15" s="197"/>
      <c r="K15" s="271"/>
      <c r="L15" s="272"/>
      <c r="M15" s="272"/>
      <c r="N15" s="272"/>
      <c r="O15" s="483"/>
      <c r="P15" s="272"/>
      <c r="Q15" s="486"/>
      <c r="R15" s="178">
        <f t="shared" si="2"/>
        <v>0</v>
      </c>
      <c r="S15" s="398"/>
      <c r="T15" s="403" t="str">
        <f t="shared" si="3"/>
        <v/>
      </c>
    </row>
    <row r="16" spans="1:20" ht="25.15" hidden="1" customHeight="1">
      <c r="A16" s="273">
        <f t="shared" si="1"/>
        <v>7</v>
      </c>
      <c r="B16" s="191"/>
      <c r="C16" s="192"/>
      <c r="D16" s="193"/>
      <c r="E16" s="197"/>
      <c r="F16" s="197"/>
      <c r="G16" s="197"/>
      <c r="H16" s="197"/>
      <c r="I16" s="197"/>
      <c r="J16" s="197"/>
      <c r="K16" s="197"/>
      <c r="L16" s="198"/>
      <c r="M16" s="200"/>
      <c r="N16" s="200"/>
      <c r="O16" s="200"/>
      <c r="P16" s="483"/>
      <c r="Q16" s="487"/>
      <c r="R16" s="178">
        <f t="shared" si="2"/>
        <v>0</v>
      </c>
      <c r="S16" s="398"/>
      <c r="T16" s="403" t="str">
        <f t="shared" si="3"/>
        <v/>
      </c>
    </row>
    <row r="17" spans="1:20" ht="25.15" hidden="1" customHeight="1" thickBot="1">
      <c r="A17" s="273">
        <f t="shared" si="1"/>
        <v>8</v>
      </c>
      <c r="B17" s="191"/>
      <c r="C17" s="406"/>
      <c r="D17" s="194"/>
      <c r="E17" s="197"/>
      <c r="F17" s="197"/>
      <c r="G17" s="197"/>
      <c r="H17" s="197"/>
      <c r="I17" s="197"/>
      <c r="J17" s="197"/>
      <c r="K17" s="197"/>
      <c r="L17" s="197"/>
      <c r="M17" s="201"/>
      <c r="N17" s="199"/>
      <c r="O17" s="199"/>
      <c r="P17" s="199"/>
      <c r="Q17" s="485"/>
      <c r="R17" s="195">
        <f t="shared" si="2"/>
        <v>0</v>
      </c>
      <c r="S17" s="399"/>
      <c r="T17" s="404" t="str">
        <f t="shared" si="3"/>
        <v/>
      </c>
    </row>
    <row r="18" spans="1:20" ht="25.15" customHeight="1" thickTop="1">
      <c r="C18" s="407"/>
      <c r="D18" s="408" t="s">
        <v>111</v>
      </c>
      <c r="E18" s="405">
        <f t="shared" ref="E18:Q18" si="4">SUM(E9:E17)</f>
        <v>0</v>
      </c>
      <c r="F18" s="202">
        <f t="shared" si="4"/>
        <v>0</v>
      </c>
      <c r="G18" s="202">
        <f t="shared" si="4"/>
        <v>0</v>
      </c>
      <c r="H18" s="202">
        <f t="shared" si="4"/>
        <v>0</v>
      </c>
      <c r="I18" s="202">
        <f t="shared" si="4"/>
        <v>0</v>
      </c>
      <c r="J18" s="202">
        <f t="shared" si="4"/>
        <v>0</v>
      </c>
      <c r="K18" s="202">
        <f t="shared" si="4"/>
        <v>0</v>
      </c>
      <c r="L18" s="202">
        <f t="shared" si="4"/>
        <v>0</v>
      </c>
      <c r="M18" s="202">
        <f t="shared" si="4"/>
        <v>0</v>
      </c>
      <c r="N18" s="202">
        <f t="shared" si="4"/>
        <v>0</v>
      </c>
      <c r="O18" s="202">
        <f t="shared" si="4"/>
        <v>0</v>
      </c>
      <c r="P18" s="202">
        <f t="shared" si="4"/>
        <v>0</v>
      </c>
      <c r="Q18" s="203">
        <f t="shared" si="4"/>
        <v>0</v>
      </c>
      <c r="R18" s="196">
        <f>SUM(R9:R17)</f>
        <v>0</v>
      </c>
      <c r="S18" s="412" t="str">
        <f>IFERROR(R18/T18,"")</f>
        <v/>
      </c>
      <c r="T18" s="413">
        <f>SUM(T9:T17)</f>
        <v>0</v>
      </c>
    </row>
    <row r="19" spans="1:20" ht="25.15" customHeight="1">
      <c r="C19" s="511" t="s">
        <v>114</v>
      </c>
      <c r="D19" s="512"/>
      <c r="E19" s="409">
        <f>IFERROR(E9/$S$9,0)+IFERROR(E10/$S$10,0)+IFERROR(E11/$S$11,0)+IFERROR(E12/$S$12,0)+IFERROR(E13/$S$13,0)+IFERROR(E14/$S$14,0)+IFERROR(E15/$S$15,0)+IFERROR(E16/$S$16,0)+IFERROR(E17/$S$17,0)</f>
        <v>0</v>
      </c>
      <c r="F19" s="410">
        <f t="shared" ref="F19:Q19" si="5">IFERROR(F9/$S$9,0)+IFERROR(F10/$S$10,0)+IFERROR(F11/$S$11,0)+IFERROR(F12/$S$12,0)+IFERROR(F13/$S$13,0)+IFERROR(F14/$S$14,0)+IFERROR(F15/$S$15,0)+IFERROR(F16/$S$16,0)+IFERROR(F17/$S$17,0)</f>
        <v>0</v>
      </c>
      <c r="G19" s="410">
        <f t="shared" si="5"/>
        <v>0</v>
      </c>
      <c r="H19" s="410">
        <f t="shared" si="5"/>
        <v>0</v>
      </c>
      <c r="I19" s="410">
        <f t="shared" si="5"/>
        <v>0</v>
      </c>
      <c r="J19" s="410">
        <f t="shared" si="5"/>
        <v>0</v>
      </c>
      <c r="K19" s="410">
        <f t="shared" si="5"/>
        <v>0</v>
      </c>
      <c r="L19" s="410">
        <f t="shared" si="5"/>
        <v>0</v>
      </c>
      <c r="M19" s="410">
        <f t="shared" si="5"/>
        <v>0</v>
      </c>
      <c r="N19" s="410">
        <f t="shared" si="5"/>
        <v>0</v>
      </c>
      <c r="O19" s="410">
        <f t="shared" si="5"/>
        <v>0</v>
      </c>
      <c r="P19" s="410">
        <f t="shared" si="5"/>
        <v>0</v>
      </c>
      <c r="Q19" s="411">
        <f t="shared" si="5"/>
        <v>0</v>
      </c>
      <c r="R19" s="364"/>
    </row>
  </sheetData>
  <sheetProtection password="8640" sheet="1" formatColumns="0" formatRows="0"/>
  <mergeCells count="5">
    <mergeCell ref="A5:A7"/>
    <mergeCell ref="C5:C7"/>
    <mergeCell ref="D5:D7"/>
    <mergeCell ref="B5:B7"/>
    <mergeCell ref="C19:D19"/>
  </mergeCells>
  <conditionalFormatting sqref="C10:T17">
    <cfRule type="expression" dxfId="77" priority="4">
      <formula>$B10="Förderpause"</formula>
    </cfRule>
  </conditionalFormatting>
  <conditionalFormatting sqref="J9:Q9 K10:Q10 L11:Q11 M12:Q12 N13:Q13 O14:Q14 P15:Q15 Q16">
    <cfRule type="notContainsBlanks" dxfId="76" priority="6">
      <formula>LEN(TRIM(J9))&gt;0</formula>
    </cfRule>
  </conditionalFormatting>
  <conditionalFormatting sqref="J9:P15">
    <cfRule type="expression" dxfId="75" priority="1">
      <formula>K9&lt;&gt;""</formula>
    </cfRule>
  </conditionalFormatting>
  <dataValidations xWindow="1200" yWindow="651" count="7">
    <dataValidation type="list" allowBlank="1" showInputMessage="1" showErrorMessage="1" promptTitle="Auswahlfeld" prompt="&quot;Fortsetzungsbewilligung vom&quot; oder &quot;Förderpause&quot;" sqref="B10:B17" xr:uid="{00000000-0002-0000-0400-000000000000}">
      <formula1>"Forts.-Bewilligung vom,Förderpause"</formula1>
    </dataValidation>
    <dataValidation allowBlank="1" showInputMessage="1" showErrorMessage="1" promptTitle="Eingabe" prompt="Datum des Zuwendungsbescheides." sqref="C10:C17" xr:uid="{00000000-0002-0000-0400-000001000000}"/>
    <dataValidation allowBlank="1" showInputMessage="1" showErrorMessage="1" promptTitle="Eingabe" prompt="Zuwendungsbescheidnummer in dem Format ##/###/##" sqref="D9:D17" xr:uid="{00000000-0002-0000-0400-000002000000}"/>
    <dataValidation allowBlank="1" showInputMessage="1" showErrorMessage="1" promptTitle="Eingabe" prompt="Gesamtbewilligung für dieses Haushaltsjahr lt. Bewilligungsplan im Zuwendungsbescheid." sqref="E9:I9 F10:J10 G11:K11 H12:L12 I13:M13 J14:N14 K15:O15 L16:P16 M17:Q17" xr:uid="{00000000-0002-0000-0400-000003000000}"/>
    <dataValidation allowBlank="1" showInputMessage="1" showErrorMessage="1" promptTitle="Datenübernahme von Startseite" prompt="Geben Sie das Datum des 1. Zuwendungsbescheides auf der Startseite ein." sqref="C9" xr:uid="{00000000-0002-0000-0400-000004000000}"/>
    <dataValidation allowBlank="1" showInputMessage="1" showErrorMessage="1" promptTitle="Eingabe" prompt="Fördersatz lt. Zuwendungsbescheid als ganze Zahl." sqref="S9:S17" xr:uid="{00000000-0002-0000-0400-000005000000}"/>
    <dataValidation allowBlank="1" showInputMessage="1" showErrorMessage="1" promptTitle="Eingabe möglich" prompt="Wenn lt. Zuwendungsbescheid für dieses HHJ Mittel eingeplant sind." sqref="J9:Q9 K10:Q10 L11:Q11 M12:Q12 N13:Q13 O14:Q14 P15:Q15 Q16" xr:uid="{00000000-0002-0000-0400-000006000000}"/>
  </dataValidations>
  <hyperlinks>
    <hyperlink ref="H1" location="Start!A1" display="Start" xr:uid="{00000000-0004-0000-0400-000000000000}"/>
    <hyperlink ref="J1" location="'weitere Ausgaben'!A1" display="weit. Ausgaben" xr:uid="{00000000-0004-0000-0400-000001000000}"/>
    <hyperlink ref="K1" location="Einnahmen!A1" display="Einnahmen" xr:uid="{00000000-0004-0000-0400-000002000000}"/>
    <hyperlink ref="M1" location="Förderantrag!A1" display="Förderantrag" xr:uid="{00000000-0004-0000-0400-000003000000}"/>
    <hyperlink ref="N1" location="'KuF Zusammenfassung'!A1" display="KuF Zus." xr:uid="{00000000-0004-0000-0400-000004000000}"/>
    <hyperlink ref="I1" location="'grunds. zuwendungsf. Ausgaben'!A1" display="Ausgaben" xr:uid="{00000000-0004-0000-0400-000005000000}"/>
  </hyperlinks>
  <pageMargins left="0.7" right="0.7" top="0.78740157499999996" bottom="0.78740157499999996" header="0.3" footer="0.3"/>
  <pageSetup paperSize="8" scale="74" orientation="landscape" r:id="rId1"/>
  <extLst>
    <ext xmlns:x14="http://schemas.microsoft.com/office/spreadsheetml/2009/9/main" uri="{78C0D931-6437-407d-A8EE-F0AAD7539E65}">
      <x14:conditionalFormattings>
        <x14:conditionalFormatting xmlns:xm="http://schemas.microsoft.com/office/excel/2006/main">
          <x14:cfRule type="expression" priority="3" id="{4F8C5806-6CDF-464F-B76C-BFD5B50DBEE1}">
            <xm:f>$A9=Start!$B$11-1</xm:f>
            <x14:dxf>
              <fill>
                <patternFill>
                  <bgColor theme="4" tint="0.59996337778862885"/>
                </patternFill>
              </fill>
            </x14:dxf>
          </x14:cfRule>
          <xm:sqref>A9:A17</xm:sqref>
        </x14:conditionalFormatting>
        <x14:conditionalFormatting xmlns:xm="http://schemas.microsoft.com/office/excel/2006/main">
          <x14:cfRule type="expression" priority="5" id="{CBE4EB8E-EAA0-4AB0-89D0-D34D6E29BF66}">
            <xm:f>E$5=Start!$B$11</xm:f>
            <x14:dxf>
              <fill>
                <patternFill>
                  <bgColor theme="7" tint="0.79998168889431442"/>
                </patternFill>
              </fill>
            </x14:dxf>
          </x14:cfRule>
          <xm:sqref>E9:Q19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M39"/>
  <sheetViews>
    <sheetView showGridLines="0" zoomScaleNormal="100" workbookViewId="0" xr3:uid="{78B4E459-6924-5F8B-B7BA-2DD04133E49E}">
      <pane ySplit="4" topLeftCell="A14" activePane="bottomLeft" state="frozen"/>
      <selection pane="bottomLeft" activeCell="C23" sqref="C23"/>
    </sheetView>
  </sheetViews>
  <sheetFormatPr defaultColWidth="11.42578125" defaultRowHeight="15"/>
  <cols>
    <col min="1" max="1" width="58.5703125" customWidth="1"/>
    <col min="3" max="8" width="13.42578125" customWidth="1"/>
    <col min="9" max="9" width="14.140625" customWidth="1"/>
    <col min="10" max="11" width="13.42578125" customWidth="1"/>
    <col min="12" max="12" width="13.28515625" customWidth="1"/>
  </cols>
  <sheetData>
    <row r="1" spans="1:12" ht="22.9" customHeight="1">
      <c r="A1" s="286" t="str">
        <f>CONCATENATE("Anlass der Kosten- und Finanzierungsübersicht: ",Start!$B$3," zum ",Start!$B$12 )</f>
        <v>Anlass der Kosten- und Finanzierungsübersicht: Erstantrag zum 31.01.</v>
      </c>
      <c r="B1" s="287"/>
      <c r="C1" s="286"/>
      <c r="D1" s="287"/>
      <c r="E1" s="332" t="s">
        <v>26</v>
      </c>
      <c r="F1" s="452" t="s">
        <v>27</v>
      </c>
      <c r="G1" s="332" t="s">
        <v>28</v>
      </c>
      <c r="H1" s="332" t="s">
        <v>29</v>
      </c>
      <c r="I1" s="332" t="s">
        <v>30</v>
      </c>
      <c r="J1" s="331" t="s">
        <v>31</v>
      </c>
      <c r="K1" s="332" t="s">
        <v>32</v>
      </c>
    </row>
    <row r="2" spans="1:12" ht="28.5" customHeight="1">
      <c r="A2" s="516" t="str">
        <f>IF(Start!B3="Sachbericht","Zum Sachbericht erfolgt keine Eintragung in Zeile 23. Aktualisieren Sie aber bitte die Prognose in Zeile 39.","Tragen Sie in Feld C23 die beantragten zuwendungsfähigen Ausgaben ein und verteilen den Betrag auf die Spalten E bis K. Überprüfen Sie die prozentuale Verteilung in Zeile 27. Füllen Sie die Prognose in Zeile 39 aus.")</f>
        <v>Tragen Sie in Feld C23 die beantragten zuwendungsfähigen Ausgaben ein und verteilen den Betrag auf die Spalten E bis K. Überprüfen Sie die prozentuale Verteilung in Zeile 27. Füllen Sie die Prognose in Zeile 39 aus.</v>
      </c>
      <c r="B2" s="516"/>
      <c r="C2" s="516"/>
      <c r="D2" s="516"/>
      <c r="E2" s="516"/>
      <c r="F2" s="516"/>
      <c r="G2" s="516"/>
      <c r="H2" s="516"/>
      <c r="I2" s="516"/>
      <c r="J2" s="516"/>
      <c r="K2" s="516"/>
    </row>
    <row r="3" spans="1:12">
      <c r="A3" s="373" t="str">
        <f>IF(AND(Start!B3="Sachbericht",Förderantrag!C23&lt;&gt;0),"Bitte den Wert in Zelle C23 löschen!",IF(AND(Start!B3&lt;&gt;"Sachbericht",C23=0),"Bitte die Antragssumme in Zelle C23 eintragen!",""))</f>
        <v>Bitte die Antragssumme in Zelle C23 eintragen!</v>
      </c>
    </row>
    <row r="4" spans="1:12" ht="15.75">
      <c r="A4" s="6" t="s">
        <v>115</v>
      </c>
      <c r="D4" s="264">
        <f>Start!B11</f>
        <v>0</v>
      </c>
    </row>
    <row r="7" spans="1:12" s="2" customFormat="1" ht="18" customHeight="1">
      <c r="A7" s="437" t="s">
        <v>116</v>
      </c>
      <c r="B7" s="438"/>
      <c r="C7" s="34" t="s">
        <v>117</v>
      </c>
      <c r="D7" s="35">
        <f>E7-1</f>
        <v>-1</v>
      </c>
      <c r="E7" s="36">
        <f>Start!$B$11</f>
        <v>0</v>
      </c>
      <c r="F7" s="36">
        <f t="shared" ref="F7:J7" si="0">E7+1</f>
        <v>1</v>
      </c>
      <c r="G7" s="36">
        <f t="shared" si="0"/>
        <v>2</v>
      </c>
      <c r="H7" s="36">
        <f t="shared" si="0"/>
        <v>3</v>
      </c>
      <c r="I7" s="36">
        <f t="shared" si="0"/>
        <v>4</v>
      </c>
      <c r="J7" s="37">
        <f t="shared" si="0"/>
        <v>5</v>
      </c>
      <c r="K7" s="32"/>
      <c r="L7" s="32"/>
    </row>
    <row r="8" spans="1:12" s="2" customFormat="1" ht="14.45" customHeight="1" thickBot="1">
      <c r="A8" s="464" t="s">
        <v>118</v>
      </c>
      <c r="B8" s="438"/>
      <c r="C8" s="38"/>
      <c r="D8" s="39" t="s">
        <v>119</v>
      </c>
      <c r="E8" s="40" t="s">
        <v>120</v>
      </c>
      <c r="F8" s="40" t="s">
        <v>120</v>
      </c>
      <c r="G8" s="40" t="s">
        <v>120</v>
      </c>
      <c r="H8" s="40" t="s">
        <v>120</v>
      </c>
      <c r="I8" s="40" t="s">
        <v>120</v>
      </c>
      <c r="J8" s="41" t="s">
        <v>120</v>
      </c>
      <c r="K8" s="32"/>
      <c r="L8" s="32"/>
    </row>
    <row r="9" spans="1:12" s="2" customFormat="1" ht="23.1" customHeight="1">
      <c r="A9" s="100" t="s">
        <v>121</v>
      </c>
      <c r="B9" s="33"/>
      <c r="C9" s="136">
        <f ca="1">SUM(D9:J9)</f>
        <v>0</v>
      </c>
      <c r="D9" s="12">
        <f ca="1">Zuw_Ausgaben_KuF[[#Totals],[E]]</f>
        <v>0</v>
      </c>
      <c r="E9" s="13">
        <f ca="1">Zuw_Ausgaben_KuF[[#Totals],[F]]</f>
        <v>0</v>
      </c>
      <c r="F9" s="12">
        <f ca="1">Zuw_Ausgaben_KuF[[#Totals],[G]]</f>
        <v>0</v>
      </c>
      <c r="G9" s="12">
        <f ca="1">Zuw_Ausgaben_KuF[[#Totals],[H]]</f>
        <v>0</v>
      </c>
      <c r="H9" s="12">
        <f ca="1">Zuw_Ausgaben_KuF[[#Totals],[I]]</f>
        <v>0</v>
      </c>
      <c r="I9" s="12">
        <f ca="1">Zuw_Ausgaben_KuF[[#Totals],[J]]</f>
        <v>0</v>
      </c>
      <c r="J9" s="137">
        <f ca="1">Zuw_Ausgaben_KuF[[#Totals],[K]]</f>
        <v>0</v>
      </c>
      <c r="K9" s="32"/>
      <c r="L9" s="32"/>
    </row>
    <row r="10" spans="1:12" s="2" customFormat="1" ht="22.9" customHeight="1">
      <c r="A10" s="100" t="s">
        <v>122</v>
      </c>
      <c r="B10" s="33"/>
      <c r="C10" s="139">
        <f ca="1">SUM(D10:J10)</f>
        <v>0</v>
      </c>
      <c r="D10" s="67">
        <f ca="1">'KuF Zusammenfassung'!E33</f>
        <v>0</v>
      </c>
      <c r="E10" s="68">
        <f ca="1">'KuF Zusammenfassung'!F33</f>
        <v>0</v>
      </c>
      <c r="F10" s="67">
        <f ca="1">'KuF Zusammenfassung'!G33</f>
        <v>0</v>
      </c>
      <c r="G10" s="67">
        <f ca="1">'KuF Zusammenfassung'!H33</f>
        <v>0</v>
      </c>
      <c r="H10" s="67">
        <f ca="1">'KuF Zusammenfassung'!I33</f>
        <v>0</v>
      </c>
      <c r="I10" s="67">
        <f ca="1">'KuF Zusammenfassung'!J33</f>
        <v>0</v>
      </c>
      <c r="J10" s="140">
        <f ca="1">'KuF Zusammenfassung'!K33</f>
        <v>0</v>
      </c>
      <c r="K10" s="32"/>
      <c r="L10" s="32"/>
    </row>
    <row r="11" spans="1:12" s="2" customFormat="1" ht="22.9" customHeight="1">
      <c r="A11" s="100" t="s">
        <v>123</v>
      </c>
      <c r="B11" s="33"/>
      <c r="C11" s="243">
        <f ca="1">C9-C10</f>
        <v>0</v>
      </c>
      <c r="D11" s="163">
        <f t="shared" ref="D11:J11" ca="1" si="1">D9-D10</f>
        <v>0</v>
      </c>
      <c r="E11" s="164">
        <f t="shared" ca="1" si="1"/>
        <v>0</v>
      </c>
      <c r="F11" s="163">
        <f t="shared" ca="1" si="1"/>
        <v>0</v>
      </c>
      <c r="G11" s="163">
        <f t="shared" ca="1" si="1"/>
        <v>0</v>
      </c>
      <c r="H11" s="163">
        <f t="shared" ca="1" si="1"/>
        <v>0</v>
      </c>
      <c r="I11" s="163">
        <f t="shared" ca="1" si="1"/>
        <v>0</v>
      </c>
      <c r="J11" s="244">
        <f t="shared" ca="1" si="1"/>
        <v>0</v>
      </c>
      <c r="K11" s="32"/>
      <c r="L11" s="138"/>
    </row>
    <row r="12" spans="1:12" s="2" customFormat="1" ht="22.9" customHeight="1">
      <c r="A12" s="119" t="s">
        <v>124</v>
      </c>
      <c r="B12" s="33"/>
      <c r="C12" s="362">
        <f ca="1">IF(C11&gt;'KuF Zusammenfassung'!$K$9,'KuF Zusammenfassung'!$K$9,C11)</f>
        <v>0</v>
      </c>
      <c r="D12" s="266">
        <f ca="1">IF(D11&gt;$C$12,$C$12,D11)</f>
        <v>0</v>
      </c>
      <c r="E12" s="268">
        <f ca="1">IF(SUM($D11:E11)&gt;$C$12,$C$12-D12,SUM(D11:E11)-D12)</f>
        <v>0</v>
      </c>
      <c r="F12" s="266">
        <f ca="1">IF(SUM($D11:F11)&gt;$C$12,$C$12-SUM($D12:E12),SUM(D11:F11)-SUM(D12:E12))</f>
        <v>0</v>
      </c>
      <c r="G12" s="266">
        <f ca="1">IF(SUM($D11:G11)&gt;$C$12,$C$12-SUM($D12:F12),SUM(D11:G11)-SUM(D12:F12))</f>
        <v>0</v>
      </c>
      <c r="H12" s="266">
        <f ca="1">IF(SUM($D11:H11)&gt;$C$12,$C$12-SUM($D12:G12),SUM(D11:H11)-SUM(D12:G12))</f>
        <v>0</v>
      </c>
      <c r="I12" s="266">
        <f ca="1">IF(SUM($D11:I11)&gt;$C$12,$C$12-SUM($D12:H12),SUM(D11:I11)-SUM(D12:H12))</f>
        <v>0</v>
      </c>
      <c r="J12" s="363">
        <f ca="1">IF(SUM($D11:J11)&gt;$C$12,$C$12-SUM($D12:I12),SUM(D11:J11)-SUM(D12:I12))</f>
        <v>0</v>
      </c>
      <c r="K12" s="32"/>
      <c r="L12" s="138"/>
    </row>
    <row r="13" spans="1:12" s="2" customFormat="1" ht="22.9" customHeight="1">
      <c r="A13" s="100" t="s">
        <v>125</v>
      </c>
      <c r="B13" s="433">
        <f>'KuF Zusammenfassung'!K10</f>
        <v>0</v>
      </c>
      <c r="C13" s="432">
        <f t="shared" ref="C13:J13" ca="1" si="2">ROUND(C12*$B$13,-3)</f>
        <v>0</v>
      </c>
      <c r="D13" s="425">
        <f t="shared" ca="1" si="2"/>
        <v>0</v>
      </c>
      <c r="E13" s="426">
        <f t="shared" ca="1" si="2"/>
        <v>0</v>
      </c>
      <c r="F13" s="425">
        <f t="shared" ca="1" si="2"/>
        <v>0</v>
      </c>
      <c r="G13" s="425">
        <f t="shared" ca="1" si="2"/>
        <v>0</v>
      </c>
      <c r="H13" s="425">
        <f t="shared" ca="1" si="2"/>
        <v>0</v>
      </c>
      <c r="I13" s="425">
        <f t="shared" ca="1" si="2"/>
        <v>0</v>
      </c>
      <c r="J13" s="427">
        <f t="shared" ca="1" si="2"/>
        <v>0</v>
      </c>
      <c r="K13" s="32"/>
      <c r="L13" s="32"/>
    </row>
    <row r="14" spans="1:12" s="2" customFormat="1" ht="22.9" customHeight="1" thickBot="1">
      <c r="A14" s="100" t="s">
        <v>126</v>
      </c>
      <c r="B14" s="270">
        <f>1-B13</f>
        <v>1</v>
      </c>
      <c r="C14" s="428">
        <f ca="1">C12-C13</f>
        <v>0</v>
      </c>
      <c r="D14" s="429">
        <f t="shared" ref="D14:J14" ca="1" si="3">D12-D13</f>
        <v>0</v>
      </c>
      <c r="E14" s="430">
        <f t="shared" ca="1" si="3"/>
        <v>0</v>
      </c>
      <c r="F14" s="429">
        <f t="shared" ca="1" si="3"/>
        <v>0</v>
      </c>
      <c r="G14" s="429">
        <f t="shared" ca="1" si="3"/>
        <v>0</v>
      </c>
      <c r="H14" s="429">
        <f t="shared" ca="1" si="3"/>
        <v>0</v>
      </c>
      <c r="I14" s="429">
        <f t="shared" ca="1" si="3"/>
        <v>0</v>
      </c>
      <c r="J14" s="431">
        <f t="shared" ca="1" si="3"/>
        <v>0</v>
      </c>
      <c r="K14" s="32"/>
      <c r="L14" s="32"/>
    </row>
    <row r="15" spans="1:12" s="2" customFormat="1" ht="25.9" customHeight="1" thickBot="1">
      <c r="A15" s="100"/>
      <c r="B15" s="33"/>
      <c r="C15" s="141"/>
      <c r="D15" s="265" t="s">
        <v>127</v>
      </c>
      <c r="E15" s="265" t="s">
        <v>128</v>
      </c>
      <c r="F15" s="265" t="s">
        <v>129</v>
      </c>
      <c r="G15" s="265" t="s">
        <v>129</v>
      </c>
      <c r="H15" s="265" t="s">
        <v>129</v>
      </c>
      <c r="I15" s="265" t="s">
        <v>129</v>
      </c>
      <c r="J15" s="265" t="s">
        <v>129</v>
      </c>
      <c r="K15" s="32"/>
      <c r="L15" s="32"/>
    </row>
    <row r="16" spans="1:12" s="2" customFormat="1" ht="22.9" customHeight="1">
      <c r="A16" s="100" t="s">
        <v>130</v>
      </c>
      <c r="B16" s="270">
        <f ca="1">IFERROR(C16/C17,)</f>
        <v>0</v>
      </c>
      <c r="C16" s="136">
        <f ca="1">SUM(D16:J16)</f>
        <v>0</v>
      </c>
      <c r="D16" s="12">
        <f ca="1">SUM(Bewilligungen!E18:OFFSET(Bewilligungen!E18,0,'KuF Zusammenfassung'!$M$4-1))</f>
        <v>0</v>
      </c>
      <c r="E16" s="13">
        <f ca="1">IF('KuF Zusammenfassung'!$M$4&lt;13,OFFSET(Bewilligungen!F18,0,'KuF Zusammenfassung'!$M$4-1),)</f>
        <v>0</v>
      </c>
      <c r="F16" s="12">
        <f ca="1">IF('KuF Zusammenfassung'!$M$4&lt;12,OFFSET(Bewilligungen!G18,0,'KuF Zusammenfassung'!$M$4-1),)</f>
        <v>0</v>
      </c>
      <c r="G16" s="12">
        <f ca="1">IF('KuF Zusammenfassung'!$M$4&lt;11,OFFSET(Bewilligungen!H18,0,'KuF Zusammenfassung'!$M$4-1),)</f>
        <v>0</v>
      </c>
      <c r="H16" s="12">
        <f ca="1">IF('KuF Zusammenfassung'!$M$4&lt;10,OFFSET(Bewilligungen!I18,0,'KuF Zusammenfassung'!$M$4-1),)</f>
        <v>0</v>
      </c>
      <c r="I16" s="12">
        <f ca="1">IF('KuF Zusammenfassung'!$M$4&lt;9,OFFSET(Bewilligungen!J18,0,'KuF Zusammenfassung'!$M$4-1),)</f>
        <v>0</v>
      </c>
      <c r="J16" s="137">
        <f ca="1">IF('KuF Zusammenfassung'!$M$4&lt;8,OFFSET(Bewilligungen!K18,0,'KuF Zusammenfassung'!$M$4-1),)</f>
        <v>0</v>
      </c>
      <c r="K16" s="32"/>
      <c r="L16" s="32"/>
    </row>
    <row r="17" spans="1:13" s="2" customFormat="1" ht="22.9" customHeight="1" thickBot="1">
      <c r="A17" s="100" t="s">
        <v>131</v>
      </c>
      <c r="B17" s="434"/>
      <c r="C17" s="428">
        <f ca="1">ROUND(SUM(D17:J17),0)</f>
        <v>0</v>
      </c>
      <c r="D17" s="429">
        <f ca="1">SUM(Bewilligungen!E19:OFFSET(Bewilligungen!E19,0,'KuF Zusammenfassung'!$M$4-1))</f>
        <v>0</v>
      </c>
      <c r="E17" s="430">
        <f ca="1">IF('KuF Zusammenfassung'!$M$4&lt;13,OFFSET(Bewilligungen!F19,0,'KuF Zusammenfassung'!$M$4-1),)</f>
        <v>0</v>
      </c>
      <c r="F17" s="429">
        <f ca="1">IF('KuF Zusammenfassung'!$M$4&lt;12,OFFSET(Bewilligungen!G19,0,'KuF Zusammenfassung'!$M$4-1),)</f>
        <v>0</v>
      </c>
      <c r="G17" s="429">
        <f ca="1">IF('KuF Zusammenfassung'!$M$4&lt;11,OFFSET(Bewilligungen!H19,0,'KuF Zusammenfassung'!$M$4-1),)</f>
        <v>0</v>
      </c>
      <c r="H17" s="429">
        <f ca="1">IF('KuF Zusammenfassung'!$M$4&lt;10,OFFSET(Bewilligungen!I19,0,'KuF Zusammenfassung'!$M$4-1),)</f>
        <v>0</v>
      </c>
      <c r="I17" s="429">
        <f ca="1">IF('KuF Zusammenfassung'!$M$4&lt;9,OFFSET(Bewilligungen!J19,0,'KuF Zusammenfassung'!$M$4-1),)</f>
        <v>0</v>
      </c>
      <c r="J17" s="431">
        <f ca="1">IF('KuF Zusammenfassung'!$M$4&lt;8,OFFSET(Bewilligungen!K19,0,'KuF Zusammenfassung'!$M$4-1),)</f>
        <v>0</v>
      </c>
      <c r="K17" s="32"/>
      <c r="L17" s="138"/>
    </row>
    <row r="18" spans="1:13" s="2" customFormat="1" ht="22.9" customHeight="1">
      <c r="A18" s="100" t="s">
        <v>132</v>
      </c>
      <c r="B18" s="434"/>
      <c r="C18" s="469">
        <f ca="1">C12-C17</f>
        <v>0</v>
      </c>
      <c r="D18" s="436"/>
      <c r="E18" s="470">
        <f ca="1">IF(SUM($D$12:E12)&gt;SUM($D$17:E17),IF($C$18&gt;SUM($D$12:E12)-SUM($D$17:E17),SUM($D$12:E12)-SUM($D$17:E17),$C$18),0)</f>
        <v>0</v>
      </c>
      <c r="F18" s="163">
        <f ca="1">IF(SUM($D$12:F12)&gt;SUM($D$17:F17)+$E$18,IF($C$18-E18&gt;SUM($D$12:F12)-SUM($D$17:F17)-E18,SUM($D$12:F12)-SUM($D$17:F17)-E18,$C$18-E18),0)</f>
        <v>0</v>
      </c>
      <c r="G18" s="163">
        <f ca="1">IF(SUM($D$12:G12)&gt;SUM($D$17:G17)+SUM($E$18:F18),IF($C$18-SUM($E$18:F18)&gt;SUM($D$12:G12)-SUM($D$17:G17)-SUM($E$18:F18),SUM($D$12:G12)-SUM($D$17:G17)-SUM($E$18:F18),$C$18-SUM($E$18:F18)),0)</f>
        <v>0</v>
      </c>
      <c r="H18" s="163">
        <f ca="1">IF(SUM($D$12:H12)&gt;SUM($D$17:H17)+SUM($E$18:G18),IF($C$18-SUM($E$18:G18)&gt;SUM($D$12:H12)-SUM($D$17:H17)-SUM($E$18:G18),SUM($D$12:H12)-SUM($D$17:H17)-SUM($E$18:G18),$C$18-SUM($E$18:G18)),0)</f>
        <v>0</v>
      </c>
      <c r="I18" s="163">
        <f ca="1">IF(SUM($D$12:I12)&gt;SUM($D$17:I17)+SUM($E$18:H18),IF($C$18-SUM($E$18:H18)&gt;SUM($D$12:I12)-SUM($D$17:I17)-SUM($E$18:H18),SUM($D$12:I12)-SUM($D$17:I17)-SUM($E$18:H18),$C$18-SUM($E$18:H18)),0)</f>
        <v>0</v>
      </c>
      <c r="J18" s="244">
        <f ca="1">IF(SUM($D$12:J12)&gt;SUM($D$17:J17)+SUM($E$18:I18),IF($C$18-SUM($E$18:I18)&gt;SUM($D$12:J12)-SUM($D$17:J17)-SUM($E$18:I18),SUM($D$12:J12)-SUM($D$17:J17)-SUM($E$18:I18),$C$18-SUM($E$18:I18)),0)</f>
        <v>0</v>
      </c>
      <c r="K18" s="32"/>
      <c r="L18" s="138"/>
      <c r="M18" s="11"/>
    </row>
    <row r="19" spans="1:13" s="2" customFormat="1" ht="22.9" customHeight="1" thickBot="1">
      <c r="A19" s="100" t="s">
        <v>133</v>
      </c>
      <c r="B19" s="471">
        <f>Start!B20</f>
        <v>0</v>
      </c>
      <c r="C19" s="446">
        <f t="shared" ref="C19:J19" ca="1" si="4">ROUND(C18*$B$19,-3)</f>
        <v>0</v>
      </c>
      <c r="D19" s="11"/>
      <c r="E19" s="449">
        <f t="shared" ca="1" si="4"/>
        <v>0</v>
      </c>
      <c r="F19" s="429">
        <f t="shared" ca="1" si="4"/>
        <v>0</v>
      </c>
      <c r="G19" s="429">
        <f t="shared" ca="1" si="4"/>
        <v>0</v>
      </c>
      <c r="H19" s="429">
        <f t="shared" ca="1" si="4"/>
        <v>0</v>
      </c>
      <c r="I19" s="429">
        <f t="shared" ca="1" si="4"/>
        <v>0</v>
      </c>
      <c r="J19" s="431">
        <f t="shared" ca="1" si="4"/>
        <v>0</v>
      </c>
      <c r="K19" s="32"/>
      <c r="L19" s="32"/>
      <c r="M19" s="11"/>
    </row>
    <row r="20" spans="1:13" s="2" customFormat="1" ht="21" customHeight="1">
      <c r="A20" s="100"/>
      <c r="B20" s="33"/>
      <c r="C20" s="11"/>
      <c r="D20" s="11"/>
      <c r="J20" s="11"/>
      <c r="K20" s="32"/>
      <c r="L20" s="32"/>
    </row>
    <row r="21" spans="1:13" s="2" customFormat="1" ht="18" customHeight="1">
      <c r="A21" s="437" t="s">
        <v>134</v>
      </c>
      <c r="B21" s="438"/>
      <c r="C21" s="34" t="s">
        <v>111</v>
      </c>
      <c r="D21" s="439" t="str">
        <f>IF($D$23&lt;&gt;0,"zu verteilen","")</f>
        <v/>
      </c>
      <c r="E21" s="36">
        <f>Start!$B$11</f>
        <v>0</v>
      </c>
      <c r="F21" s="36">
        <f t="shared" ref="F21" si="5">E21+1</f>
        <v>1</v>
      </c>
      <c r="G21" s="36">
        <f t="shared" ref="G21" si="6">F21+1</f>
        <v>2</v>
      </c>
      <c r="H21" s="36">
        <f t="shared" ref="H21" si="7">G21+1</f>
        <v>3</v>
      </c>
      <c r="I21" s="36">
        <f t="shared" ref="I21" si="8">H21+1</f>
        <v>4</v>
      </c>
      <c r="J21" s="36">
        <f t="shared" ref="J21:K21" si="9">I21+1</f>
        <v>5</v>
      </c>
      <c r="K21" s="36">
        <f t="shared" si="9"/>
        <v>6</v>
      </c>
      <c r="L21" s="32"/>
    </row>
    <row r="22" spans="1:13" s="2" customFormat="1" ht="14.45" customHeight="1" thickBot="1">
      <c r="A22" s="437" t="s">
        <v>135</v>
      </c>
      <c r="B22" s="438"/>
      <c r="C22" s="442" t="s">
        <v>52</v>
      </c>
      <c r="D22" s="440" t="str">
        <f>IF($D$23&lt;&gt;0,"€","")</f>
        <v/>
      </c>
      <c r="E22" s="40" t="s">
        <v>120</v>
      </c>
      <c r="F22" s="40" t="s">
        <v>120</v>
      </c>
      <c r="G22" s="40" t="s">
        <v>120</v>
      </c>
      <c r="H22" s="40" t="s">
        <v>120</v>
      </c>
      <c r="I22" s="40" t="s">
        <v>120</v>
      </c>
      <c r="J22" s="41" t="s">
        <v>120</v>
      </c>
      <c r="K22" s="41" t="s">
        <v>120</v>
      </c>
      <c r="L22" s="32"/>
    </row>
    <row r="23" spans="1:13" s="2" customFormat="1" ht="22.9" customHeight="1">
      <c r="A23" s="100" t="s">
        <v>136</v>
      </c>
      <c r="B23" s="471">
        <v>1</v>
      </c>
      <c r="C23" s="444"/>
      <c r="D23" s="441">
        <f>C23-SUM(E23:K23)</f>
        <v>0</v>
      </c>
      <c r="E23" s="447"/>
      <c r="F23" s="450"/>
      <c r="G23" s="450"/>
      <c r="H23" s="450"/>
      <c r="I23" s="450"/>
      <c r="J23" s="450"/>
      <c r="K23" s="451"/>
      <c r="L23" s="458" t="str">
        <f>IF(C23&lt;&gt;SUM(E23:K23),"Die Summe der Einzelbeträge stimmt nicht mit der Gesamtsumme überein!","")</f>
        <v/>
      </c>
    </row>
    <row r="24" spans="1:13" s="2" customFormat="1" ht="22.5" customHeight="1">
      <c r="A24" s="100" t="s">
        <v>137</v>
      </c>
      <c r="B24" s="443">
        <f>Start!$B$20</f>
        <v>0</v>
      </c>
      <c r="C24" s="445">
        <f>ROUND(C23*$B$24,-3)</f>
        <v>0</v>
      </c>
      <c r="D24" s="11"/>
      <c r="E24" s="448">
        <f>ROUND(E23*$B$24,-3)</f>
        <v>0</v>
      </c>
      <c r="F24" s="67">
        <f t="shared" ref="F24:J24" si="10">ROUND(F23*$B$24,-3)</f>
        <v>0</v>
      </c>
      <c r="G24" s="67">
        <f t="shared" si="10"/>
        <v>0</v>
      </c>
      <c r="H24" s="67">
        <f t="shared" si="10"/>
        <v>0</v>
      </c>
      <c r="I24" s="67">
        <f t="shared" si="10"/>
        <v>0</v>
      </c>
      <c r="J24" s="67">
        <f t="shared" si="10"/>
        <v>0</v>
      </c>
      <c r="K24" s="140">
        <f>C24-SUM(E24:J24)</f>
        <v>0</v>
      </c>
      <c r="L24" s="32"/>
    </row>
    <row r="25" spans="1:13" s="2" customFormat="1" ht="22.9" customHeight="1" thickBot="1">
      <c r="A25" s="100" t="s">
        <v>138</v>
      </c>
      <c r="B25" s="471">
        <f>B23-B24</f>
        <v>1</v>
      </c>
      <c r="C25" s="446">
        <f>C23-C24</f>
        <v>0</v>
      </c>
      <c r="D25" s="11"/>
      <c r="E25" s="449">
        <f t="shared" ref="E25:K25" si="11">E23-E24</f>
        <v>0</v>
      </c>
      <c r="F25" s="429">
        <f t="shared" si="11"/>
        <v>0</v>
      </c>
      <c r="G25" s="429">
        <f t="shared" si="11"/>
        <v>0</v>
      </c>
      <c r="H25" s="429">
        <f t="shared" si="11"/>
        <v>0</v>
      </c>
      <c r="I25" s="429">
        <f t="shared" si="11"/>
        <v>0</v>
      </c>
      <c r="J25" s="429">
        <f t="shared" si="11"/>
        <v>0</v>
      </c>
      <c r="K25" s="431">
        <f t="shared" si="11"/>
        <v>0</v>
      </c>
      <c r="L25" s="32"/>
    </row>
    <row r="26" spans="1:13" s="2" customFormat="1" ht="22.9" customHeight="1" thickBot="1">
      <c r="A26" s="100" t="s">
        <v>139</v>
      </c>
      <c r="B26" s="435"/>
      <c r="C26" s="436"/>
      <c r="D26" s="11"/>
      <c r="E26" s="147">
        <f t="shared" ref="E26:J26" si="12">ROUND($C$24*E27,-3)</f>
        <v>0</v>
      </c>
      <c r="F26" s="144">
        <f t="shared" si="12"/>
        <v>0</v>
      </c>
      <c r="G26" s="144">
        <f t="shared" si="12"/>
        <v>0</v>
      </c>
      <c r="H26" s="144">
        <f t="shared" si="12"/>
        <v>0</v>
      </c>
      <c r="I26" s="144">
        <f t="shared" si="12"/>
        <v>0</v>
      </c>
      <c r="J26" s="144">
        <f t="shared" si="12"/>
        <v>0</v>
      </c>
      <c r="K26" s="146">
        <f>C24-SUM(E26:J26)</f>
        <v>0</v>
      </c>
      <c r="L26" s="32"/>
    </row>
    <row r="27" spans="1:13" s="2" customFormat="1" ht="15.6" customHeight="1">
      <c r="A27" s="100"/>
      <c r="B27" s="33"/>
      <c r="C27" s="11"/>
      <c r="D27" s="11"/>
      <c r="E27" s="459">
        <v>0.05</v>
      </c>
      <c r="F27" s="459">
        <v>7.0000000000000007E-2</v>
      </c>
      <c r="G27" s="459">
        <v>0.19</v>
      </c>
      <c r="H27" s="459">
        <v>0.19</v>
      </c>
      <c r="I27" s="459">
        <v>0.21</v>
      </c>
      <c r="J27" s="459">
        <v>0.16</v>
      </c>
      <c r="K27" s="459">
        <v>0.13</v>
      </c>
      <c r="L27" s="2" t="str">
        <f>IF(SUM(E27:K27)&lt;&gt;1,"Die Summe der Jahrestranchen ergibt nicht 100%","")</f>
        <v/>
      </c>
    </row>
    <row r="28" spans="1:13" s="2" customFormat="1" ht="15.6" customHeight="1">
      <c r="A28" s="100"/>
      <c r="B28" s="33"/>
      <c r="C28" s="11"/>
      <c r="D28" s="11"/>
      <c r="E28" s="417"/>
      <c r="F28" s="417"/>
      <c r="G28" s="417"/>
      <c r="H28" s="417"/>
      <c r="I28" s="417"/>
      <c r="J28" s="417"/>
      <c r="K28" s="417"/>
    </row>
    <row r="29" spans="1:13" s="2" customFormat="1" ht="18" customHeight="1">
      <c r="A29" s="437" t="s">
        <v>140</v>
      </c>
      <c r="B29" s="438"/>
      <c r="C29" s="34" t="s">
        <v>111</v>
      </c>
      <c r="D29" s="35">
        <f>E29-1</f>
        <v>-1</v>
      </c>
      <c r="E29" s="36">
        <f>Start!$B$11</f>
        <v>0</v>
      </c>
      <c r="F29" s="36">
        <f t="shared" ref="F29" si="13">E29+1</f>
        <v>1</v>
      </c>
      <c r="G29" s="36">
        <f t="shared" ref="G29" si="14">F29+1</f>
        <v>2</v>
      </c>
      <c r="H29" s="36">
        <f t="shared" ref="H29" si="15">G29+1</f>
        <v>3</v>
      </c>
      <c r="I29" s="36">
        <f t="shared" ref="I29:J29" si="16">H29+1</f>
        <v>4</v>
      </c>
      <c r="J29" s="37">
        <f t="shared" si="16"/>
        <v>5</v>
      </c>
      <c r="K29" s="32"/>
    </row>
    <row r="30" spans="1:13" s="2" customFormat="1" ht="12.6" customHeight="1" thickBot="1">
      <c r="A30" s="437"/>
      <c r="B30" s="438"/>
      <c r="C30" s="442" t="s">
        <v>52</v>
      </c>
      <c r="D30" s="39" t="s">
        <v>119</v>
      </c>
      <c r="E30" s="40" t="s">
        <v>120</v>
      </c>
      <c r="F30" s="40" t="s">
        <v>120</v>
      </c>
      <c r="G30" s="40" t="s">
        <v>120</v>
      </c>
      <c r="H30" s="40" t="s">
        <v>120</v>
      </c>
      <c r="I30" s="40" t="s">
        <v>120</v>
      </c>
      <c r="J30" s="41" t="s">
        <v>120</v>
      </c>
      <c r="K30" s="32"/>
    </row>
    <row r="31" spans="1:13" s="2" customFormat="1" ht="23.1" customHeight="1" thickBot="1">
      <c r="A31" s="513" t="s">
        <v>141</v>
      </c>
      <c r="B31" s="515"/>
      <c r="C31" s="143">
        <f ca="1">SUM(D31:J31)</f>
        <v>0</v>
      </c>
      <c r="D31" s="144">
        <f ca="1">D16</f>
        <v>0</v>
      </c>
      <c r="E31" s="145">
        <f ca="1">E16+E26</f>
        <v>0</v>
      </c>
      <c r="F31" s="144">
        <f t="shared" ref="F31:I31" ca="1" si="17">F16+F26</f>
        <v>0</v>
      </c>
      <c r="G31" s="144">
        <f t="shared" ca="1" si="17"/>
        <v>0</v>
      </c>
      <c r="H31" s="144">
        <f t="shared" ca="1" si="17"/>
        <v>0</v>
      </c>
      <c r="I31" s="144">
        <f t="shared" ca="1" si="17"/>
        <v>0</v>
      </c>
      <c r="J31" s="144">
        <f ca="1">J16+J26+K26</f>
        <v>0</v>
      </c>
      <c r="K31" s="32"/>
    </row>
    <row r="32" spans="1:13" s="2" customFormat="1" ht="23.1" customHeight="1">
      <c r="A32" s="513" t="s">
        <v>142</v>
      </c>
      <c r="B32" s="513"/>
      <c r="C32" s="514"/>
      <c r="D32" s="266">
        <f ca="1">D31-D13</f>
        <v>0</v>
      </c>
      <c r="E32" s="268">
        <f ca="1">SUM($D$31:E31)-SUM($D$13:E13)</f>
        <v>0</v>
      </c>
      <c r="F32" s="266">
        <f ca="1">SUM($D$31:F31)-SUM($D$13:F13)</f>
        <v>0</v>
      </c>
      <c r="G32" s="266">
        <f ca="1">SUM($D$31:G31)-SUM($D$13:G13)</f>
        <v>0</v>
      </c>
      <c r="H32" s="266">
        <f ca="1">SUM($D$31:H31)-SUM($D$13:H13)</f>
        <v>0</v>
      </c>
      <c r="I32" s="266">
        <f ca="1">SUM($D$31:I31)-SUM($D$13:I13)</f>
        <v>0</v>
      </c>
      <c r="J32" s="266">
        <f ca="1">SUM($D$31:J31)-SUM($D$13:J13)</f>
        <v>0</v>
      </c>
      <c r="K32" s="465">
        <f ca="1">COUNTIF(D32:J32,"&gt;0")</f>
        <v>0</v>
      </c>
    </row>
    <row r="33" spans="1:12" s="2" customFormat="1" ht="23.1" customHeight="1">
      <c r="A33" s="513" t="s">
        <v>143</v>
      </c>
      <c r="B33" s="513"/>
      <c r="C33" s="514"/>
      <c r="D33" s="267">
        <f ca="1">D31-SUM(D13:E13)</f>
        <v>0</v>
      </c>
      <c r="E33" s="472">
        <f ca="1">SUM($D$31:E31)-SUM($D$13:F13)</f>
        <v>0</v>
      </c>
      <c r="F33" s="267">
        <f ca="1">SUM($D$31:F31)-SUM($D$13:G13)</f>
        <v>0</v>
      </c>
      <c r="G33" s="267">
        <f ca="1">SUM($D$31:G31)-SUM($D$13:H13)</f>
        <v>0</v>
      </c>
      <c r="H33" s="267">
        <f ca="1">SUM($D$31:H31)-SUM($D$13:I13)</f>
        <v>0</v>
      </c>
      <c r="I33" s="267">
        <f ca="1">SUM($D$31:I31)-SUM($D$13:J13)</f>
        <v>0</v>
      </c>
      <c r="J33" s="267">
        <f ca="1">SUM($D$31:J31)-SUM($D$13:K13)</f>
        <v>0</v>
      </c>
      <c r="K33" s="465">
        <f ca="1">COUNTIF(D33:J33,"&gt;0")</f>
        <v>0</v>
      </c>
    </row>
    <row r="34" spans="1:12" ht="21" customHeight="1"/>
    <row r="35" spans="1:12" s="2" customFormat="1" ht="28.9" customHeight="1">
      <c r="A35" s="513" t="s">
        <v>144</v>
      </c>
      <c r="B35" s="514"/>
      <c r="C35" s="66">
        <f ca="1">SUM(D35:J35)</f>
        <v>0</v>
      </c>
      <c r="D35" s="67">
        <f ca="1">D11-D16</f>
        <v>0</v>
      </c>
      <c r="E35" s="68">
        <f ca="1">E11-E16-E26</f>
        <v>0</v>
      </c>
      <c r="F35" s="67">
        <f ca="1">F11-F16-F26</f>
        <v>0</v>
      </c>
      <c r="G35" s="67">
        <f ca="1">G11-G16-G26</f>
        <v>0</v>
      </c>
      <c r="H35" s="67">
        <f ca="1">H11-H16-H26</f>
        <v>0</v>
      </c>
      <c r="I35" s="67">
        <f ca="1">I11-I16-I26</f>
        <v>0</v>
      </c>
      <c r="J35" s="67">
        <f ca="1">J11-J16-J26-K26</f>
        <v>0</v>
      </c>
      <c r="K35" s="138"/>
      <c r="L35" s="32"/>
    </row>
    <row r="36" spans="1:12" ht="21" customHeight="1"/>
    <row r="37" spans="1:12" s="2" customFormat="1" ht="18" customHeight="1">
      <c r="A37" s="437" t="s">
        <v>145</v>
      </c>
      <c r="B37" s="438"/>
      <c r="C37" s="34" t="s">
        <v>111</v>
      </c>
      <c r="D37" s="455" t="str">
        <f ca="1">IF($D$39&lt;&gt;0,"zu verteilen","")</f>
        <v/>
      </c>
      <c r="E37" s="456"/>
      <c r="F37" s="36">
        <f>Start!$B$11+1</f>
        <v>1</v>
      </c>
      <c r="G37" s="36">
        <f t="shared" ref="G37" si="18">F37+1</f>
        <v>2</v>
      </c>
      <c r="H37" s="36">
        <f t="shared" ref="H37" si="19">G37+1</f>
        <v>3</v>
      </c>
      <c r="I37" s="36">
        <f t="shared" ref="I37" si="20">H37+1</f>
        <v>4</v>
      </c>
      <c r="J37" s="36">
        <f t="shared" ref="J37" si="21">I37+1</f>
        <v>5</v>
      </c>
      <c r="K37" s="36" t="s">
        <v>111</v>
      </c>
    </row>
    <row r="38" spans="1:12" s="2" customFormat="1" ht="14.45" customHeight="1" thickBot="1">
      <c r="A38" s="464" t="s">
        <v>146</v>
      </c>
      <c r="B38" s="438"/>
      <c r="C38" s="460" t="s">
        <v>147</v>
      </c>
      <c r="D38" s="457" t="str">
        <f ca="1">IF($D$39&lt;&gt;0,"max. €","")</f>
        <v/>
      </c>
      <c r="E38" s="456"/>
      <c r="F38" s="40" t="s">
        <v>52</v>
      </c>
      <c r="G38" s="40" t="s">
        <v>52</v>
      </c>
      <c r="H38" s="40" t="s">
        <v>52</v>
      </c>
      <c r="I38" s="40" t="s">
        <v>52</v>
      </c>
      <c r="J38" s="41" t="s">
        <v>52</v>
      </c>
      <c r="K38" s="41" t="s">
        <v>52</v>
      </c>
    </row>
    <row r="39" spans="1:12" s="2" customFormat="1" ht="22.9" customHeight="1" thickBot="1">
      <c r="A39" s="100" t="s">
        <v>148</v>
      </c>
      <c r="B39" s="33"/>
      <c r="C39" s="66">
        <f ca="1">C19-C24</f>
        <v>0</v>
      </c>
      <c r="D39" s="441">
        <f ca="1">C39-SUM(F39:J39)</f>
        <v>0</v>
      </c>
      <c r="E39"/>
      <c r="F39" s="461"/>
      <c r="G39" s="462"/>
      <c r="H39" s="462"/>
      <c r="I39" s="462"/>
      <c r="J39" s="463"/>
      <c r="K39" s="227">
        <f>SUM(F39:J39)</f>
        <v>0</v>
      </c>
      <c r="L39" s="467" t="str">
        <f ca="1">IF(K39&gt;C39,"Die  Summe übersteigt die Restfördererwartung!","")</f>
        <v/>
      </c>
    </row>
  </sheetData>
  <sheetProtection password="8640" sheet="1" objects="1" scenarios="1"/>
  <mergeCells count="5">
    <mergeCell ref="A32:C32"/>
    <mergeCell ref="A33:C33"/>
    <mergeCell ref="A31:B31"/>
    <mergeCell ref="A35:B35"/>
    <mergeCell ref="A2:K2"/>
  </mergeCells>
  <conditionalFormatting sqref="D32:I33">
    <cfRule type="cellIs" dxfId="72" priority="25" operator="greaterThan">
      <formula>0</formula>
    </cfRule>
  </conditionalFormatting>
  <conditionalFormatting sqref="C24">
    <cfRule type="expression" dxfId="71" priority="24">
      <formula>$C$24&gt;$C$19</formula>
    </cfRule>
  </conditionalFormatting>
  <conditionalFormatting sqref="D33:I33">
    <cfRule type="cellIs" dxfId="70" priority="16" operator="greaterThan">
      <formula>0</formula>
    </cfRule>
  </conditionalFormatting>
  <conditionalFormatting sqref="C12:J12">
    <cfRule type="expression" dxfId="69" priority="15">
      <formula>C$11&lt;&gt;C$12</formula>
    </cfRule>
  </conditionalFormatting>
  <conditionalFormatting sqref="C23">
    <cfRule type="expression" dxfId="68" priority="14">
      <formula>$C$23&gt;$C$18</formula>
    </cfRule>
  </conditionalFormatting>
  <conditionalFormatting sqref="D23">
    <cfRule type="cellIs" dxfId="67" priority="10" operator="notEqual">
      <formula>0</formula>
    </cfRule>
  </conditionalFormatting>
  <conditionalFormatting sqref="J32">
    <cfRule type="cellIs" dxfId="66" priority="9" operator="greaterThan">
      <formula>0</formula>
    </cfRule>
  </conditionalFormatting>
  <conditionalFormatting sqref="J33">
    <cfRule type="cellIs" dxfId="65" priority="7" operator="greaterThan">
      <formula>0</formula>
    </cfRule>
  </conditionalFormatting>
  <conditionalFormatting sqref="J33">
    <cfRule type="cellIs" dxfId="64" priority="6" operator="greaterThan">
      <formula>0</formula>
    </cfRule>
  </conditionalFormatting>
  <conditionalFormatting sqref="C39">
    <cfRule type="expression" dxfId="63" priority="3">
      <formula>$C$23&gt;$C$18</formula>
    </cfRule>
  </conditionalFormatting>
  <conditionalFormatting sqref="D39">
    <cfRule type="cellIs" dxfId="62" priority="2" operator="notEqual">
      <formula>0</formula>
    </cfRule>
  </conditionalFormatting>
  <dataValidations count="2">
    <dataValidation allowBlank="1" showInputMessage="1" showErrorMessage="1" promptTitle="Eingabe" prompt="Übernahme der prozentualen Jahrestranchen aus dem Programmaufruf." sqref="E28:K28" xr:uid="{00000000-0002-0000-0500-000000000000}"/>
    <dataValidation allowBlank="1" showInputMessage="1" showErrorMessage="1" promptTitle="Eingabe:" prompt="Die prozentualen Jahrestranchen werden durch das Bauministerium bekanntgegeben. Sollten sich Änderungen ergeben, sind die Werte entsprechend anzupassen." sqref="E27:K27" xr:uid="{00000000-0002-0000-0500-000001000000}"/>
  </dataValidations>
  <hyperlinks>
    <hyperlink ref="E1" location="Start!A1" display="Start" xr:uid="{00000000-0004-0000-0500-000000000000}"/>
    <hyperlink ref="G1" location="'weitere Ausgaben'!A1" display="weit. Ausgaben" xr:uid="{00000000-0004-0000-0500-000001000000}"/>
    <hyperlink ref="I1" location="Bewilligungen!A1" display="Bewilligungen" xr:uid="{00000000-0004-0000-0500-000002000000}"/>
    <hyperlink ref="H1" location="Einnahmen!A1" display="Einnahmen" xr:uid="{00000000-0004-0000-0500-000003000000}"/>
    <hyperlink ref="K1" location="'KuF Zusammenfassung'!A1" display="KuF Zus." xr:uid="{00000000-0004-0000-0500-000004000000}"/>
    <hyperlink ref="F1" location="'grunds. zuwendungsf. Ausgaben'!A1" display="Ausgaben" xr:uid="{00000000-0004-0000-0500-000005000000}"/>
  </hyperlinks>
  <pageMargins left="0.7" right="0.7" top="0.78740157499999996" bottom="0.78740157499999996" header="0.3" footer="0.3"/>
  <pageSetup paperSize="8" scale="93"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8" id="{DE456EE4-BB63-4D60-A17B-4ACD635173AB}">
            <xm:f>$C$13&gt;'KuF Zusammenfassung'!$K$9</xm:f>
            <x14:dxf>
              <fill>
                <patternFill>
                  <bgColor rgb="FFFF5050"/>
                </patternFill>
              </fill>
            </x14:dxf>
          </x14:cfRule>
          <xm:sqref>C19 C13</xm:sqref>
        </x14:conditionalFormatting>
        <x14:conditionalFormatting xmlns:xm="http://schemas.microsoft.com/office/excel/2006/main">
          <x14:cfRule type="expression" priority="18" id="{877F4252-06BF-4570-A1EF-C4C9E0AD1278}">
            <xm:f>$C$11&gt;'KuF Zusammenfassung'!$K$9</xm:f>
            <x14:dxf>
              <font>
                <color theme="1"/>
              </font>
            </x14:dxf>
          </x14:cfRule>
          <xm:sqref>A12:J12</xm:sqref>
        </x14:conditionalFormatting>
        <x14:conditionalFormatting xmlns:xm="http://schemas.microsoft.com/office/excel/2006/main">
          <x14:cfRule type="expression" priority="17" id="{A97FBA8F-B46F-4160-861A-D600E80BC0A0}">
            <xm:f>$C$11&gt;'KuF Zusammenfassung'!$K$9</xm:f>
            <x14:dxf>
              <fill>
                <patternFill>
                  <bgColor theme="5" tint="0.79998168889431442"/>
                </patternFill>
              </fill>
            </x14:dxf>
          </x14:cfRule>
          <xm:sqref>A12</xm:sqref>
        </x14:conditionalFormatting>
        <x14:conditionalFormatting xmlns:xm="http://schemas.microsoft.com/office/excel/2006/main">
          <x14:cfRule type="expression" priority="13" id="{AD7B650E-DE4F-4EDE-8E20-5B95C3BB5DB2}">
            <xm:f>$C$13&gt;'KuF Zusammenfassung'!$K$9</xm:f>
            <x14:dxf>
              <fill>
                <patternFill>
                  <bgColor rgb="FFFF5050"/>
                </patternFill>
              </fill>
            </x14:dxf>
          </x14:cfRule>
          <xm:sqref>C14</xm:sqref>
        </x14:conditionalFormatting>
        <x14:conditionalFormatting xmlns:xm="http://schemas.microsoft.com/office/excel/2006/main">
          <x14:cfRule type="expression" priority="11" id="{BA7D8469-08A1-40B9-8237-51B28E11F260}">
            <xm:f>$C$13&gt;'KuF Zusammenfassung'!$K$9</xm:f>
            <x14:dxf>
              <fill>
                <patternFill>
                  <bgColor rgb="FFFF5050"/>
                </patternFill>
              </fill>
            </x14:dxf>
          </x14:cfRule>
          <xm:sqref>C18</xm:sqref>
        </x14:conditionalFormatting>
        <x14:conditionalFormatting xmlns:xm="http://schemas.microsoft.com/office/excel/2006/main">
          <x14:cfRule type="expression" priority="1" id="{41F04CF4-28C4-4125-97DF-8E88A77DA6E5}">
            <xm:f>'KuF Zusammenfassung'!$D$49&gt;$C$39</xm:f>
            <x14:dxf/>
          </x14:cfRule>
          <xm:sqref>D49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9" tint="0.39997558519241921"/>
    <pageSetUpPr fitToPage="1"/>
  </sheetPr>
  <dimension ref="A1:S107"/>
  <sheetViews>
    <sheetView showGridLines="0" zoomScale="110" zoomScaleNormal="110" workbookViewId="0" xr3:uid="{9B253EF2-77E0-53E3-AE26-4D66ECD923F3}">
      <pane ySplit="2" topLeftCell="A42" activePane="bottomLeft" state="frozen"/>
      <selection pane="bottomLeft" activeCell="B49" sqref="B49"/>
    </sheetView>
  </sheetViews>
  <sheetFormatPr defaultColWidth="11.5703125" defaultRowHeight="15"/>
  <cols>
    <col min="1" max="1" width="6.5703125" style="95" customWidth="1"/>
    <col min="2" max="2" width="58.5703125" style="32" customWidth="1"/>
    <col min="3" max="3" width="8.28515625" style="33" customWidth="1"/>
    <col min="4" max="11" width="13.42578125" style="2" customWidth="1"/>
    <col min="12" max="12" width="8.7109375" style="32" customWidth="1"/>
    <col min="13" max="13" width="5.5703125" style="32" customWidth="1"/>
    <col min="14" max="15" width="5.5703125" style="2" customWidth="1"/>
    <col min="16" max="16" width="13.140625" style="2" customWidth="1"/>
    <col min="17" max="17" width="13.5703125" style="2" customWidth="1"/>
    <col min="18" max="19" width="10.5703125" style="2" customWidth="1"/>
    <col min="20" max="16384" width="11.5703125" style="2"/>
  </cols>
  <sheetData>
    <row r="1" spans="1:14" customFormat="1" ht="22.9" customHeight="1">
      <c r="A1" s="286"/>
      <c r="B1" s="287" t="s">
        <v>149</v>
      </c>
      <c r="C1" s="286"/>
      <c r="D1" s="287"/>
      <c r="E1" s="332" t="s">
        <v>26</v>
      </c>
      <c r="F1" s="452" t="s">
        <v>27</v>
      </c>
      <c r="G1" s="332" t="s">
        <v>28</v>
      </c>
      <c r="H1" s="332" t="s">
        <v>29</v>
      </c>
      <c r="I1" s="332" t="s">
        <v>30</v>
      </c>
      <c r="J1" s="332" t="s">
        <v>31</v>
      </c>
      <c r="K1" s="330" t="s">
        <v>32</v>
      </c>
      <c r="L1" s="32"/>
      <c r="M1" s="32"/>
    </row>
    <row r="3" spans="1:14" ht="22.5" customHeight="1">
      <c r="A3" s="70" t="s">
        <v>150</v>
      </c>
      <c r="B3" s="242" t="str">
        <f>IF(Start!B3&lt;&gt;"Sachbericht","Anlage zum Städtebauförderantrag vom","Anlage zum Sachbericht vom")</f>
        <v>Anlage zum Städtebauförderantrag vom</v>
      </c>
      <c r="C3" s="71"/>
      <c r="D3" s="72" t="str">
        <f>IF(Start!B4&lt;&gt;"",Start!B4,"")</f>
        <v/>
      </c>
      <c r="E3" s="320" t="str">
        <f>IF(Start!B3&lt;&gt;"Sachbericht",Start!B3,"")</f>
        <v>Erstantrag</v>
      </c>
      <c r="F3" s="73"/>
      <c r="G3" s="74"/>
      <c r="H3" s="74"/>
      <c r="I3" s="73"/>
      <c r="J3" s="321" t="s">
        <v>10</v>
      </c>
      <c r="K3" s="322">
        <f ca="1">IF(Start!B11&lt;&gt;"",Start!B11,YEAR(TODAY())+1)</f>
        <v>2026</v>
      </c>
      <c r="L3" s="336" t="s">
        <v>151</v>
      </c>
      <c r="M3" s="337">
        <f>IF(Start!B22&lt;&gt;"",YEAR(Start!B22),Start!B11)</f>
        <v>0</v>
      </c>
      <c r="N3" s="274"/>
    </row>
    <row r="4" spans="1:14" ht="30">
      <c r="A4" s="368" t="s">
        <v>152</v>
      </c>
      <c r="B4" s="76"/>
      <c r="D4" s="77"/>
      <c r="E4" s="77"/>
      <c r="F4" s="77"/>
      <c r="G4" s="77"/>
      <c r="H4" s="77"/>
      <c r="I4" s="77"/>
      <c r="J4" s="366" t="s">
        <v>153</v>
      </c>
      <c r="K4" s="367" t="str">
        <f>Start!B12</f>
        <v>31.01.</v>
      </c>
      <c r="L4" s="336" t="s">
        <v>154</v>
      </c>
      <c r="M4" s="337">
        <f ca="1">IFERROR(IF(K3-M3&lt;14,K3-M3,13),0)</f>
        <v>13</v>
      </c>
    </row>
    <row r="5" spans="1:14" ht="18" customHeight="1">
      <c r="A5" s="368">
        <v>5</v>
      </c>
      <c r="B5" s="75" t="s">
        <v>155</v>
      </c>
      <c r="D5" s="517" t="str">
        <f>IF(Start!B14&lt;&gt;"",Start!B14,"")</f>
        <v/>
      </c>
      <c r="E5" s="517"/>
      <c r="F5" s="517"/>
      <c r="G5" s="517"/>
      <c r="H5" s="517"/>
      <c r="I5" s="517"/>
      <c r="J5" s="517"/>
      <c r="K5" s="79"/>
      <c r="L5" s="241"/>
      <c r="M5" s="80"/>
      <c r="N5" s="80"/>
    </row>
    <row r="6" spans="1:14" ht="18" customHeight="1">
      <c r="A6" s="368">
        <v>6</v>
      </c>
      <c r="B6" s="75" t="s">
        <v>13</v>
      </c>
      <c r="D6" s="517" t="str">
        <f>IF(Start!B15&lt;&gt;"",Start!B15,"")</f>
        <v/>
      </c>
      <c r="E6" s="517"/>
      <c r="F6" s="517"/>
      <c r="G6" s="517"/>
      <c r="H6" s="517"/>
      <c r="I6" s="517"/>
      <c r="J6" s="517"/>
      <c r="K6" s="81"/>
      <c r="L6" s="75"/>
      <c r="M6" s="80"/>
      <c r="N6" s="80"/>
    </row>
    <row r="7" spans="1:14" ht="18" customHeight="1">
      <c r="A7" s="368">
        <v>7</v>
      </c>
      <c r="B7" s="75" t="s">
        <v>14</v>
      </c>
      <c r="D7" s="517" t="str">
        <f>IF(Start!B16&lt;&gt;"",Start!B16,"")</f>
        <v/>
      </c>
      <c r="E7" s="517"/>
      <c r="F7" s="517"/>
      <c r="G7" s="517"/>
      <c r="H7" s="517"/>
      <c r="I7" s="517"/>
      <c r="J7" s="517"/>
      <c r="K7" s="81"/>
      <c r="L7" s="75"/>
      <c r="M7" s="80"/>
      <c r="N7" s="80"/>
    </row>
    <row r="8" spans="1:14" ht="18" customHeight="1">
      <c r="A8" s="368"/>
      <c r="I8" s="217"/>
      <c r="K8" s="82"/>
      <c r="L8" s="75"/>
      <c r="M8" s="80"/>
      <c r="N8" s="80"/>
    </row>
    <row r="9" spans="1:14" ht="18" customHeight="1">
      <c r="A9" s="368">
        <v>9</v>
      </c>
      <c r="B9" s="32" t="s">
        <v>15</v>
      </c>
      <c r="C9" s="2"/>
      <c r="D9" s="517" t="str">
        <f>IF(Start!B18&lt;&gt;"",Start!B18,"")</f>
        <v/>
      </c>
      <c r="E9" s="517"/>
      <c r="F9" s="517"/>
      <c r="G9" s="517"/>
      <c r="H9" s="517"/>
      <c r="I9" s="359" t="str">
        <f>IF(Start!B26&gt;0,"Förderobergrenze:","vorläufige Förderobergrenze:")</f>
        <v>vorläufige Förderobergrenze:</v>
      </c>
      <c r="J9" s="74"/>
      <c r="K9" s="360">
        <f ca="1">IF(Start!$B$26&gt;0,Start!$B$26,IF(Start!$B$23&gt;0,Start!$B$23,$D$34))</f>
        <v>0</v>
      </c>
      <c r="M9" s="83"/>
      <c r="N9" s="83"/>
    </row>
    <row r="10" spans="1:14" ht="18" customHeight="1">
      <c r="A10" s="368">
        <v>10</v>
      </c>
      <c r="B10" s="32" t="s">
        <v>16</v>
      </c>
      <c r="C10" s="84"/>
      <c r="D10" s="517" t="str">
        <f>IF(Start!B19&lt;&gt;"",Start!B19,"")</f>
        <v/>
      </c>
      <c r="E10" s="517"/>
      <c r="F10" s="517"/>
      <c r="I10" s="361" t="str">
        <f>IF(Start!B28&gt;0,"Mischfördersatz:","Fördersatz:")</f>
        <v>Fördersatz:</v>
      </c>
      <c r="K10" s="418">
        <f>IF(Start!B20&gt;0,IF(Start!B28&gt;0,Start!B28,Start!B20),0)</f>
        <v>0</v>
      </c>
      <c r="M10" s="85"/>
      <c r="N10" s="85"/>
    </row>
    <row r="11" spans="1:14" ht="18" customHeight="1">
      <c r="A11" s="368">
        <v>11</v>
      </c>
      <c r="B11" s="523" t="s">
        <v>156</v>
      </c>
      <c r="C11" s="513"/>
      <c r="D11" s="86" t="str">
        <f>IF(Start!B22&lt;&gt;"",Start!B22,"")</f>
        <v/>
      </c>
      <c r="E11" s="217"/>
      <c r="F11" s="217"/>
      <c r="G11" s="217"/>
      <c r="H11" s="217"/>
      <c r="I11" s="87" t="s">
        <v>157</v>
      </c>
      <c r="K11" s="43">
        <f ca="1">ROUND(K9*K10,-3)</f>
        <v>0</v>
      </c>
      <c r="L11" s="88"/>
      <c r="M11" s="86"/>
      <c r="N11" s="86"/>
    </row>
    <row r="12" spans="1:14" ht="6" customHeight="1">
      <c r="A12" s="78"/>
      <c r="B12" s="89"/>
      <c r="C12" s="90"/>
      <c r="D12" s="91"/>
      <c r="E12" s="91"/>
      <c r="F12" s="91"/>
      <c r="G12" s="91"/>
      <c r="H12" s="91"/>
      <c r="I12" s="92"/>
      <c r="J12" s="93"/>
      <c r="K12" s="94"/>
      <c r="L12" s="88"/>
      <c r="M12" s="86"/>
      <c r="N12" s="86"/>
    </row>
    <row r="13" spans="1:14" ht="18" customHeight="1">
      <c r="C13" s="84"/>
      <c r="D13" s="217"/>
      <c r="E13" s="217"/>
      <c r="F13" s="217"/>
      <c r="G13" s="217"/>
      <c r="H13" s="217"/>
      <c r="K13" s="95"/>
      <c r="L13" s="86"/>
      <c r="M13" s="86"/>
      <c r="N13" s="86"/>
    </row>
    <row r="14" spans="1:14" ht="18" customHeight="1">
      <c r="A14" s="96" t="s">
        <v>158</v>
      </c>
      <c r="D14" s="97"/>
      <c r="E14" s="98"/>
      <c r="F14" s="98"/>
      <c r="G14" s="98"/>
      <c r="H14" s="98"/>
      <c r="I14" s="98"/>
      <c r="J14" s="98"/>
      <c r="K14" s="11"/>
      <c r="L14" s="86"/>
      <c r="M14" s="86"/>
      <c r="N14" s="86"/>
    </row>
    <row r="15" spans="1:14" ht="12.6" customHeight="1">
      <c r="A15" s="99"/>
      <c r="B15" s="100"/>
      <c r="D15" s="97"/>
      <c r="E15" s="98"/>
      <c r="F15" s="98"/>
      <c r="G15" s="98"/>
      <c r="H15" s="98"/>
      <c r="I15" s="98"/>
      <c r="J15" s="98"/>
      <c r="K15" s="11"/>
      <c r="L15" s="86"/>
      <c r="M15" s="86"/>
      <c r="N15" s="86"/>
    </row>
    <row r="16" spans="1:14" ht="18" customHeight="1">
      <c r="A16" s="99"/>
      <c r="B16" s="100" t="s">
        <v>27</v>
      </c>
      <c r="D16" s="97"/>
      <c r="E16" s="98"/>
      <c r="F16" s="100" t="s">
        <v>29</v>
      </c>
      <c r="G16" s="98"/>
      <c r="H16" s="98"/>
      <c r="I16" s="98"/>
      <c r="J16" s="98"/>
      <c r="K16" s="11"/>
      <c r="L16" s="86"/>
      <c r="M16" s="86"/>
      <c r="N16" s="86"/>
    </row>
    <row r="17" spans="1:16" ht="18" customHeight="1">
      <c r="A17" s="365">
        <v>17</v>
      </c>
      <c r="B17" s="364" t="s">
        <v>159</v>
      </c>
      <c r="C17" s="71"/>
      <c r="D17" s="102">
        <f ca="1">SUM(Zuw_Ausgaben_KuF[D])</f>
        <v>0</v>
      </c>
      <c r="E17" s="103"/>
      <c r="F17" s="104" t="s">
        <v>160</v>
      </c>
      <c r="G17" s="104"/>
      <c r="H17" s="104"/>
      <c r="I17" s="104"/>
      <c r="J17" s="74"/>
      <c r="K17" s="105">
        <f ca="1">$D$36</f>
        <v>0</v>
      </c>
      <c r="L17" s="106">
        <f ca="1">IFERROR(K17/D35,0)</f>
        <v>0</v>
      </c>
      <c r="M17" s="86"/>
      <c r="N17" s="86"/>
    </row>
    <row r="18" spans="1:16" ht="18" customHeight="1">
      <c r="A18" s="365">
        <v>18</v>
      </c>
      <c r="B18" s="87"/>
      <c r="C18" s="2"/>
      <c r="D18" s="107"/>
      <c r="E18" s="103"/>
      <c r="F18" s="11" t="s">
        <v>161</v>
      </c>
      <c r="G18" s="11"/>
      <c r="H18" s="11"/>
      <c r="I18" s="11"/>
      <c r="K18" s="107">
        <f ca="1">$D$35-$D$36</f>
        <v>0</v>
      </c>
      <c r="L18" s="106">
        <f ca="1">IFERROR(K$18/(K$17/K$10),0)</f>
        <v>0</v>
      </c>
      <c r="M18" s="108"/>
      <c r="N18" s="86"/>
    </row>
    <row r="19" spans="1:16" ht="18" customHeight="1">
      <c r="A19" s="365">
        <v>19</v>
      </c>
      <c r="B19" s="87"/>
      <c r="C19" s="2"/>
      <c r="D19" s="107"/>
      <c r="E19" s="103"/>
      <c r="F19" s="11" t="s">
        <v>162</v>
      </c>
      <c r="G19" s="11"/>
      <c r="H19" s="11"/>
      <c r="I19" s="11"/>
      <c r="J19" s="109">
        <f>Einnahmen!$R$34</f>
        <v>0</v>
      </c>
      <c r="K19" s="107"/>
      <c r="L19" s="106">
        <f ca="1">IFERROR((K$18-J$19)/$D$35,0)</f>
        <v>0</v>
      </c>
      <c r="M19" s="110" t="s">
        <v>163</v>
      </c>
      <c r="N19" s="86"/>
    </row>
    <row r="20" spans="1:16" ht="18" customHeight="1">
      <c r="A20" s="365">
        <v>20</v>
      </c>
      <c r="B20" s="87"/>
      <c r="D20" s="111"/>
      <c r="E20" s="103"/>
      <c r="F20" s="11" t="s">
        <v>164</v>
      </c>
      <c r="G20" s="11"/>
      <c r="H20" s="11"/>
      <c r="I20" s="11"/>
      <c r="K20" s="107">
        <f>Einnahmen!$R$35</f>
        <v>0</v>
      </c>
      <c r="L20" s="86"/>
      <c r="M20" s="86"/>
      <c r="N20" s="86"/>
    </row>
    <row r="21" spans="1:16" ht="18" customHeight="1">
      <c r="A21" s="365">
        <v>21</v>
      </c>
      <c r="B21" s="87" t="s">
        <v>165</v>
      </c>
      <c r="D21" s="111">
        <f>'weitere Ausgaben'!R24</f>
        <v>0</v>
      </c>
      <c r="E21" s="103"/>
      <c r="F21" s="11" t="s">
        <v>166</v>
      </c>
      <c r="G21" s="11"/>
      <c r="H21" s="11"/>
      <c r="I21" s="11"/>
      <c r="K21" s="107">
        <f>D21</f>
        <v>0</v>
      </c>
      <c r="L21" s="86"/>
      <c r="M21" s="86"/>
      <c r="N21" s="86"/>
    </row>
    <row r="22" spans="1:16" ht="18" customHeight="1">
      <c r="A22" s="365">
        <v>22</v>
      </c>
      <c r="B22" s="87" t="s">
        <v>167</v>
      </c>
      <c r="D22" s="111">
        <f>'weitere Ausgaben'!R25</f>
        <v>0</v>
      </c>
      <c r="E22" s="103"/>
      <c r="F22" s="11" t="s">
        <v>168</v>
      </c>
      <c r="G22" s="11"/>
      <c r="H22" s="11"/>
      <c r="I22" s="11"/>
      <c r="K22" s="107">
        <f>D22</f>
        <v>0</v>
      </c>
      <c r="L22" s="86"/>
      <c r="M22" s="86"/>
      <c r="N22" s="86"/>
    </row>
    <row r="23" spans="1:16" ht="18" customHeight="1">
      <c r="A23" s="365">
        <v>23</v>
      </c>
      <c r="B23" s="87"/>
      <c r="D23" s="111"/>
      <c r="E23" s="103"/>
      <c r="F23" s="11" t="s">
        <v>169</v>
      </c>
      <c r="G23" s="11"/>
      <c r="H23" s="11"/>
      <c r="I23" s="11"/>
      <c r="K23" s="107">
        <f ca="1">D24-SUM(K17:K22)</f>
        <v>0</v>
      </c>
      <c r="L23" s="86"/>
      <c r="M23" s="86"/>
      <c r="N23" s="86"/>
    </row>
    <row r="24" spans="1:16" ht="24.6" customHeight="1">
      <c r="A24" s="365">
        <v>24</v>
      </c>
      <c r="B24" s="112" t="s">
        <v>170</v>
      </c>
      <c r="C24" s="113"/>
      <c r="D24" s="114">
        <f ca="1">SUM(D17:D23)</f>
        <v>0</v>
      </c>
      <c r="E24" s="115"/>
      <c r="F24" s="116" t="s">
        <v>171</v>
      </c>
      <c r="G24" s="116"/>
      <c r="H24" s="116"/>
      <c r="I24" s="116"/>
      <c r="J24" s="117"/>
      <c r="K24" s="118">
        <f ca="1">SUM(K17:K23)</f>
        <v>0</v>
      </c>
    </row>
    <row r="25" spans="1:16" ht="18" customHeight="1">
      <c r="A25" s="101"/>
      <c r="B25" s="100"/>
      <c r="C25" s="119"/>
      <c r="D25" s="120"/>
      <c r="E25" s="121"/>
      <c r="F25" s="122"/>
      <c r="G25" s="122"/>
      <c r="H25" s="122"/>
      <c r="I25" s="122"/>
      <c r="J25" s="74"/>
      <c r="K25" s="123"/>
    </row>
    <row r="26" spans="1:16" ht="18" customHeight="1">
      <c r="A26" s="101"/>
      <c r="B26" s="124" t="s">
        <v>172</v>
      </c>
      <c r="D26" s="125"/>
      <c r="E26" s="121"/>
      <c r="F26" s="126" t="s">
        <v>172</v>
      </c>
      <c r="G26" s="121"/>
      <c r="H26" s="121"/>
      <c r="I26" s="121"/>
      <c r="K26" s="127"/>
    </row>
    <row r="27" spans="1:16" ht="27" customHeight="1">
      <c r="A27" s="101">
        <v>27</v>
      </c>
      <c r="B27" s="128" t="s">
        <v>173</v>
      </c>
      <c r="C27" s="129"/>
      <c r="D27" s="130">
        <f>nachrichtliche_Kosten[[#Totals],[R]]</f>
        <v>0</v>
      </c>
      <c r="E27" s="121"/>
      <c r="F27" s="524" t="s">
        <v>174</v>
      </c>
      <c r="G27" s="525"/>
      <c r="H27" s="525"/>
      <c r="I27" s="525"/>
      <c r="J27" s="526"/>
      <c r="K27" s="102">
        <f>D27</f>
        <v>0</v>
      </c>
    </row>
    <row r="28" spans="1:16" ht="33" customHeight="1">
      <c r="A28" s="217"/>
      <c r="B28" s="100"/>
      <c r="C28" s="119"/>
      <c r="D28" s="131"/>
      <c r="E28" s="121"/>
      <c r="F28" s="122"/>
      <c r="G28" s="122"/>
      <c r="H28" s="122"/>
      <c r="I28" s="122"/>
      <c r="J28" s="74"/>
      <c r="K28" s="123"/>
    </row>
    <row r="29" spans="1:16" ht="18" customHeight="1">
      <c r="A29" s="132" t="s">
        <v>175</v>
      </c>
      <c r="C29" s="119"/>
      <c r="D29" s="133"/>
      <c r="E29" s="121"/>
      <c r="F29" s="134"/>
      <c r="G29" s="134"/>
      <c r="H29" s="134"/>
      <c r="I29" s="134"/>
      <c r="J29" s="93"/>
      <c r="K29" s="135"/>
    </row>
    <row r="30" spans="1:16" ht="18" customHeight="1">
      <c r="A30" s="365">
        <v>30</v>
      </c>
      <c r="D30" s="34" t="s">
        <v>117</v>
      </c>
      <c r="E30" s="35">
        <f ca="1">F30-1</f>
        <v>2025</v>
      </c>
      <c r="F30" s="36">
        <f ca="1">K3</f>
        <v>2026</v>
      </c>
      <c r="G30" s="36">
        <f t="shared" ref="G30" ca="1" si="0">F30+1</f>
        <v>2027</v>
      </c>
      <c r="H30" s="36">
        <f t="shared" ref="H30" ca="1" si="1">G30+1</f>
        <v>2028</v>
      </c>
      <c r="I30" s="36">
        <f t="shared" ref="I30" ca="1" si="2">H30+1</f>
        <v>2029</v>
      </c>
      <c r="J30" s="36">
        <f t="shared" ref="J30" ca="1" si="3">I30+1</f>
        <v>2030</v>
      </c>
      <c r="K30" s="37">
        <f t="shared" ref="K30" ca="1" si="4">J30+1</f>
        <v>2031</v>
      </c>
    </row>
    <row r="31" spans="1:16" ht="12.6" customHeight="1" thickBot="1">
      <c r="A31" s="365">
        <v>31</v>
      </c>
      <c r="D31" s="38"/>
      <c r="E31" s="39" t="s">
        <v>119</v>
      </c>
      <c r="F31" s="40" t="s">
        <v>120</v>
      </c>
      <c r="G31" s="40" t="s">
        <v>120</v>
      </c>
      <c r="H31" s="40" t="s">
        <v>120</v>
      </c>
      <c r="I31" s="40" t="s">
        <v>120</v>
      </c>
      <c r="J31" s="40" t="s">
        <v>120</v>
      </c>
      <c r="K31" s="41" t="s">
        <v>120</v>
      </c>
    </row>
    <row r="32" spans="1:16" ht="23.1" customHeight="1">
      <c r="A32" s="365">
        <v>32</v>
      </c>
      <c r="B32" s="100" t="s">
        <v>176</v>
      </c>
      <c r="D32" s="136">
        <f ca="1">SUM(E32:K32)</f>
        <v>0</v>
      </c>
      <c r="E32" s="12">
        <f ca="1">Zuw_Ausgaben_KuF[[#Totals],[E]]</f>
        <v>0</v>
      </c>
      <c r="F32" s="13">
        <f ca="1">Zuw_Ausgaben_KuF[[#Totals],[F]]</f>
        <v>0</v>
      </c>
      <c r="G32" s="12">
        <f ca="1">Zuw_Ausgaben_KuF[[#Totals],[G]]</f>
        <v>0</v>
      </c>
      <c r="H32" s="12">
        <f ca="1">Zuw_Ausgaben_KuF[[#Totals],[H]]</f>
        <v>0</v>
      </c>
      <c r="I32" s="12">
        <f ca="1">Zuw_Ausgaben_KuF[[#Totals],[I]]</f>
        <v>0</v>
      </c>
      <c r="J32" s="12">
        <f ca="1">Zuw_Ausgaben_KuF[[#Totals],[J]]</f>
        <v>0</v>
      </c>
      <c r="K32" s="137">
        <f ca="1">Zuw_Ausgaben_KuF[[#Totals],[K]]</f>
        <v>0</v>
      </c>
      <c r="P32" s="11"/>
    </row>
    <row r="33" spans="1:16" ht="23.1" customHeight="1">
      <c r="A33" s="365">
        <v>33</v>
      </c>
      <c r="B33" s="100" t="s">
        <v>177</v>
      </c>
      <c r="D33" s="139">
        <f ca="1">SUM(E33:K33)</f>
        <v>0</v>
      </c>
      <c r="E33" s="67">
        <f ca="1">SUM(Einnahmen!D35:OFFSET(Einnahmen!D35,0,$M$4))</f>
        <v>0</v>
      </c>
      <c r="F33" s="68">
        <f ca="1">IF($M$4&lt;13,OFFSET(Einnahmen!E35,0,$M$4),)</f>
        <v>0</v>
      </c>
      <c r="G33" s="67">
        <f ca="1">IF($M$4&lt;12,OFFSET(Einnahmen!F35,0,$M$4),)</f>
        <v>0</v>
      </c>
      <c r="H33" s="67">
        <f ca="1">IF($M$4&lt;11,OFFSET(Einnahmen!G35,0,$M$4),)</f>
        <v>0</v>
      </c>
      <c r="I33" s="67">
        <f ca="1">IF($M$4&lt;10,OFFSET(Einnahmen!H35,0,$M$4),)</f>
        <v>0</v>
      </c>
      <c r="J33" s="67">
        <f ca="1">IF($M$4&lt;9,OFFSET(Einnahmen!I35,0,$M$4),)</f>
        <v>0</v>
      </c>
      <c r="K33" s="140">
        <f ca="1">IF($M$4&lt;8,SUM(OFFSET(Einnahmen!J35,0,$M$4):'Einnahmen'!Q35),)</f>
        <v>0</v>
      </c>
      <c r="P33" s="11"/>
    </row>
    <row r="34" spans="1:16" ht="23.1" customHeight="1">
      <c r="A34" s="365">
        <v>34</v>
      </c>
      <c r="B34" s="100" t="s">
        <v>178</v>
      </c>
      <c r="D34" s="243">
        <f ca="1">SUM(E34:K34)</f>
        <v>0</v>
      </c>
      <c r="E34" s="163">
        <f t="shared" ref="E34:K34" ca="1" si="5">E32-E33</f>
        <v>0</v>
      </c>
      <c r="F34" s="164">
        <f t="shared" ca="1" si="5"/>
        <v>0</v>
      </c>
      <c r="G34" s="163">
        <f t="shared" ca="1" si="5"/>
        <v>0</v>
      </c>
      <c r="H34" s="163">
        <f t="shared" ca="1" si="5"/>
        <v>0</v>
      </c>
      <c r="I34" s="163">
        <f t="shared" ca="1" si="5"/>
        <v>0</v>
      </c>
      <c r="J34" s="163">
        <f t="shared" ca="1" si="5"/>
        <v>0</v>
      </c>
      <c r="K34" s="244">
        <f t="shared" ca="1" si="5"/>
        <v>0</v>
      </c>
      <c r="M34" s="138"/>
      <c r="P34" s="11"/>
    </row>
    <row r="35" spans="1:16" ht="23.1" customHeight="1">
      <c r="A35" s="365">
        <v>35</v>
      </c>
      <c r="B35" s="119" t="s">
        <v>179</v>
      </c>
      <c r="D35" s="420">
        <f ca="1">IF(D34&gt;$K$9,$K$9,D34)</f>
        <v>0</v>
      </c>
      <c r="E35" s="421">
        <f ca="1">IF(E34&gt;$D$35,$D$35,E34)</f>
        <v>0</v>
      </c>
      <c r="F35" s="422">
        <f ca="1">IF(SUM($E34:F34)&gt;$D$35,$D$35-E35,SUM(E34:F34)-E35)</f>
        <v>0</v>
      </c>
      <c r="G35" s="421">
        <f ca="1">IF(SUM($E34:G34)&gt;$D$35,$D$35-SUM($E35:F35),SUM(E34:G34)-SUM(E35:F35))</f>
        <v>0</v>
      </c>
      <c r="H35" s="421">
        <f ca="1">IF(SUM($E34:H34)&gt;$D$35,$D$35-SUM($E35:G35),SUM(E34:H34)-SUM(E35:G35))</f>
        <v>0</v>
      </c>
      <c r="I35" s="421">
        <f ca="1">IF(SUM($E34:I34)&gt;$D$35,$D$35-SUM($E35:H35),SUM(E34:I34)-SUM(E35:H35))</f>
        <v>0</v>
      </c>
      <c r="J35" s="421">
        <f ca="1">IF(SUM($E34:J34)&gt;$D$35,$D$35-SUM($E35:I35),SUM(E34:J34)-SUM(E35:I35))</f>
        <v>0</v>
      </c>
      <c r="K35" s="423">
        <f ca="1">IF(SUM($E34:K34)&gt;$D$35,$D$35-SUM($E35:J35),SUM(E34:K34)-SUM(E35:J35))</f>
        <v>0</v>
      </c>
      <c r="M35" s="138"/>
      <c r="P35" s="11"/>
    </row>
    <row r="36" spans="1:16" ht="23.1" customHeight="1">
      <c r="A36" s="365">
        <v>36</v>
      </c>
      <c r="B36" s="100" t="s">
        <v>180</v>
      </c>
      <c r="C36" s="270">
        <f>$K$10</f>
        <v>0</v>
      </c>
      <c r="D36" s="424">
        <f ca="1">ROUND(D35*$K10,-3)</f>
        <v>0</v>
      </c>
      <c r="E36" s="479">
        <f ca="1">ROUND(E35*$K$10,-3)</f>
        <v>0</v>
      </c>
      <c r="F36" s="480">
        <f ca="1">ROUND(F35*$K$10,-3)</f>
        <v>0</v>
      </c>
      <c r="G36" s="479">
        <f t="shared" ref="G36:K36" ca="1" si="6">ROUND(G35*$K$10,-3)</f>
        <v>0</v>
      </c>
      <c r="H36" s="479">
        <f t="shared" ca="1" si="6"/>
        <v>0</v>
      </c>
      <c r="I36" s="479">
        <f t="shared" ca="1" si="6"/>
        <v>0</v>
      </c>
      <c r="J36" s="479">
        <f t="shared" ca="1" si="6"/>
        <v>0</v>
      </c>
      <c r="K36" s="481">
        <f t="shared" ca="1" si="6"/>
        <v>0</v>
      </c>
      <c r="P36" s="11"/>
    </row>
    <row r="37" spans="1:16" ht="23.1" customHeight="1" thickBot="1">
      <c r="A37" s="365">
        <v>37</v>
      </c>
      <c r="B37" s="100" t="s">
        <v>181</v>
      </c>
      <c r="C37" s="270">
        <f>1-$C$36</f>
        <v>1</v>
      </c>
      <c r="D37" s="428">
        <f ca="1">D35-D36</f>
        <v>0</v>
      </c>
      <c r="E37" s="476">
        <f ca="1">E35-E36</f>
        <v>0</v>
      </c>
      <c r="F37" s="477">
        <f t="shared" ref="F37:K37" ca="1" si="7">F35-F36</f>
        <v>0</v>
      </c>
      <c r="G37" s="476">
        <f t="shared" ca="1" si="7"/>
        <v>0</v>
      </c>
      <c r="H37" s="476">
        <f t="shared" ca="1" si="7"/>
        <v>0</v>
      </c>
      <c r="I37" s="476">
        <f t="shared" ca="1" si="7"/>
        <v>0</v>
      </c>
      <c r="J37" s="476">
        <f t="shared" ca="1" si="7"/>
        <v>0</v>
      </c>
      <c r="K37" s="478">
        <f t="shared" ca="1" si="7"/>
        <v>0</v>
      </c>
      <c r="P37" s="11"/>
    </row>
    <row r="38" spans="1:16" ht="23.1" customHeight="1" thickBot="1">
      <c r="A38" s="365">
        <v>38</v>
      </c>
      <c r="B38" s="100"/>
      <c r="D38" s="141"/>
      <c r="E38" s="142" t="s">
        <v>127</v>
      </c>
      <c r="F38" s="142" t="s">
        <v>128</v>
      </c>
      <c r="G38" s="142" t="s">
        <v>129</v>
      </c>
      <c r="H38" s="142" t="s">
        <v>129</v>
      </c>
      <c r="I38" s="142" t="s">
        <v>129</v>
      </c>
      <c r="J38" s="142" t="s">
        <v>129</v>
      </c>
      <c r="K38" s="142" t="s">
        <v>129</v>
      </c>
    </row>
    <row r="39" spans="1:16" ht="23.1" customHeight="1" thickBot="1">
      <c r="A39" s="365">
        <v>39</v>
      </c>
      <c r="B39" s="100" t="s">
        <v>182</v>
      </c>
      <c r="C39" s="270">
        <f ca="1">Förderantrag!B16</f>
        <v>0</v>
      </c>
      <c r="D39" s="143">
        <f ca="1">SUM(E39:K39)</f>
        <v>0</v>
      </c>
      <c r="E39" s="144">
        <f ca="1">Förderantrag!D16</f>
        <v>0</v>
      </c>
      <c r="F39" s="145">
        <f ca="1">Förderantrag!E16</f>
        <v>0</v>
      </c>
      <c r="G39" s="144">
        <f ca="1">Förderantrag!F16</f>
        <v>0</v>
      </c>
      <c r="H39" s="144">
        <f ca="1">Förderantrag!G16</f>
        <v>0</v>
      </c>
      <c r="I39" s="144">
        <f ca="1">Förderantrag!H16</f>
        <v>0</v>
      </c>
      <c r="J39" s="144">
        <f ca="1">Förderantrag!I16</f>
        <v>0</v>
      </c>
      <c r="K39" s="146">
        <f ca="1">Förderantrag!J16</f>
        <v>0</v>
      </c>
    </row>
    <row r="40" spans="1:16" ht="23.1" customHeight="1" thickBot="1">
      <c r="A40" s="365"/>
      <c r="B40" s="100"/>
      <c r="D40" s="11"/>
      <c r="E40" s="11"/>
      <c r="F40" s="11"/>
      <c r="G40" s="11"/>
      <c r="H40" s="11"/>
      <c r="I40" s="11"/>
      <c r="J40" s="11"/>
      <c r="K40" s="11"/>
    </row>
    <row r="41" spans="1:16" ht="23.1" customHeight="1" thickBot="1">
      <c r="A41" s="365">
        <v>41</v>
      </c>
      <c r="B41" s="100" t="s">
        <v>183</v>
      </c>
      <c r="C41" s="471">
        <f>Start!$B$20</f>
        <v>0</v>
      </c>
      <c r="D41" s="143">
        <f ca="1">Förderantrag!C19</f>
        <v>0</v>
      </c>
      <c r="E41" s="144">
        <f>Förderantrag!D19</f>
        <v>0</v>
      </c>
      <c r="F41" s="145">
        <f ca="1">Förderantrag!E19</f>
        <v>0</v>
      </c>
      <c r="G41" s="144">
        <f ca="1">Förderantrag!F19</f>
        <v>0</v>
      </c>
      <c r="H41" s="144">
        <f ca="1">Förderantrag!G19</f>
        <v>0</v>
      </c>
      <c r="I41" s="144">
        <f ca="1">Förderantrag!H19</f>
        <v>0</v>
      </c>
      <c r="J41" s="419">
        <f ca="1">Förderantrag!I19</f>
        <v>0</v>
      </c>
      <c r="K41" s="146">
        <f ca="1">Förderantrag!J19</f>
        <v>0</v>
      </c>
      <c r="P41" s="11"/>
    </row>
    <row r="42" spans="1:16" ht="23.1" customHeight="1" thickBot="1">
      <c r="A42" s="365"/>
      <c r="B42" s="530" t="str">
        <f>IF(AND(Start!B3&lt;&gt;"Sachbericht",D43=0),"Bitte tragen Sie auf dem Tabellenblatt [Förderantrag] in Zeile 23 die beantragte Förderung ein!",IF(AND(Start!B3="Sachbericht",D43&gt;0),"Bitte Löschen Sie im Tabellenblatt [Förderantrag] die Eintragungen in Zeile 23!",""))</f>
        <v>Bitte tragen Sie auf dem Tabellenblatt [Förderantrag] in Zeile 23 die beantragte Förderung ein!</v>
      </c>
      <c r="C42" s="530"/>
      <c r="D42" s="530"/>
      <c r="E42" s="530"/>
      <c r="F42" s="530"/>
      <c r="G42" s="530"/>
      <c r="H42" s="530"/>
      <c r="I42" s="530"/>
      <c r="J42" s="530"/>
      <c r="K42" s="530"/>
    </row>
    <row r="43" spans="1:16" ht="23.1" customHeight="1" thickBot="1">
      <c r="A43" s="365">
        <v>43</v>
      </c>
      <c r="B43" s="100" t="s">
        <v>184</v>
      </c>
      <c r="C43" s="471">
        <f>Förderantrag!B24</f>
        <v>0</v>
      </c>
      <c r="D43" s="269">
        <f>Förderantrag!C24</f>
        <v>0</v>
      </c>
      <c r="E43" s="11"/>
      <c r="F43" s="147">
        <f>Förderantrag!E26</f>
        <v>0</v>
      </c>
      <c r="G43" s="144">
        <f>Förderantrag!F26</f>
        <v>0</v>
      </c>
      <c r="H43" s="144">
        <f>Förderantrag!G26</f>
        <v>0</v>
      </c>
      <c r="I43" s="144">
        <f>Förderantrag!H26</f>
        <v>0</v>
      </c>
      <c r="J43" s="144">
        <f>Förderantrag!I26</f>
        <v>0</v>
      </c>
      <c r="K43" s="146">
        <f>Förderantrag!J26+Förderantrag!K26</f>
        <v>0</v>
      </c>
    </row>
    <row r="44" spans="1:16" ht="11.25" customHeight="1">
      <c r="A44" s="365">
        <v>44</v>
      </c>
      <c r="B44" s="100"/>
      <c r="D44" s="11"/>
      <c r="E44" s="11"/>
      <c r="F44" s="148">
        <f>Förderantrag!E27</f>
        <v>0.05</v>
      </c>
      <c r="G44" s="148">
        <f>Förderantrag!F27</f>
        <v>7.0000000000000007E-2</v>
      </c>
      <c r="H44" s="148">
        <f>Förderantrag!G27</f>
        <v>0.19</v>
      </c>
      <c r="I44" s="148">
        <f>Förderantrag!H27</f>
        <v>0.19</v>
      </c>
      <c r="J44" s="148">
        <f>Förderantrag!I27</f>
        <v>0.21</v>
      </c>
      <c r="K44" s="148">
        <f>Förderantrag!J27+Förderantrag!K27</f>
        <v>0.29000000000000004</v>
      </c>
    </row>
    <row r="45" spans="1:16" ht="14.25" customHeight="1" thickBot="1">
      <c r="A45" s="365"/>
      <c r="B45" s="100"/>
      <c r="D45" s="11"/>
      <c r="E45" s="11"/>
      <c r="F45" s="148"/>
      <c r="G45" s="148"/>
      <c r="H45" s="148"/>
      <c r="I45" s="148"/>
      <c r="J45" s="148"/>
      <c r="K45" s="11"/>
    </row>
    <row r="46" spans="1:16" ht="23.1" customHeight="1" thickBot="1">
      <c r="A46" s="365">
        <v>46</v>
      </c>
      <c r="B46" s="513" t="s">
        <v>141</v>
      </c>
      <c r="C46" s="515"/>
      <c r="D46" s="143">
        <f ca="1">SUM(E46:K46)</f>
        <v>0</v>
      </c>
      <c r="E46" s="144">
        <f t="shared" ref="E46:K46" ca="1" si="8">E39+E43</f>
        <v>0</v>
      </c>
      <c r="F46" s="145">
        <f t="shared" ca="1" si="8"/>
        <v>0</v>
      </c>
      <c r="G46" s="144">
        <f t="shared" ca="1" si="8"/>
        <v>0</v>
      </c>
      <c r="H46" s="144">
        <f t="shared" ca="1" si="8"/>
        <v>0</v>
      </c>
      <c r="I46" s="144">
        <f t="shared" ca="1" si="8"/>
        <v>0</v>
      </c>
      <c r="J46" s="146">
        <f t="shared" ca="1" si="8"/>
        <v>0</v>
      </c>
      <c r="K46" s="146">
        <f t="shared" ca="1" si="8"/>
        <v>0</v>
      </c>
    </row>
    <row r="47" spans="1:16" ht="17.45" customHeight="1">
      <c r="A47" s="365">
        <v>47</v>
      </c>
      <c r="B47" s="2" t="str">
        <f ca="1">IF(Förderantrag!K33&gt;0,"Auf der Grundlage der vorliegenden Planung werden tlw. Mittel nicht innerhalb von 13 Monaten verwendet (steigendes Zinsrisiko).",IF(Förderantrag!K32&gt;0,"Auf der Grundlage der vorliegenden Planung werden tlw. Mittel im Folgejahr der Bereitstellung verwendet.","Auf der Grundlage der vorliegenden Planung können die bereitgestellten Mittel unmittelbar verwendet werden."))</f>
        <v>Auf der Grundlage der vorliegenden Planung können die bereitgestellten Mittel unmittelbar verwendet werden.</v>
      </c>
      <c r="C47"/>
      <c r="D47"/>
      <c r="E47"/>
      <c r="F47"/>
      <c r="G47"/>
      <c r="H47"/>
      <c r="I47"/>
      <c r="J47"/>
      <c r="K47"/>
    </row>
    <row r="48" spans="1:16" ht="17.45" customHeight="1" thickBot="1">
      <c r="A48" s="365"/>
      <c r="B48" s="2"/>
      <c r="C48"/>
      <c r="D48"/>
      <c r="E48"/>
      <c r="F48"/>
      <c r="G48"/>
      <c r="H48"/>
      <c r="I48"/>
      <c r="J48"/>
      <c r="K48"/>
    </row>
    <row r="49" spans="1:19" ht="23.1" customHeight="1" thickBot="1">
      <c r="A49" s="365">
        <v>49</v>
      </c>
      <c r="B49" s="468" t="s">
        <v>185</v>
      </c>
      <c r="C49" s="471">
        <f>Start!B20</f>
        <v>0</v>
      </c>
      <c r="D49" s="269">
        <f>SUM(G49:K49)</f>
        <v>0</v>
      </c>
      <c r="F49"/>
      <c r="G49" s="466">
        <f>Förderantrag!F39</f>
        <v>0</v>
      </c>
      <c r="H49" s="144">
        <f>Förderantrag!G39</f>
        <v>0</v>
      </c>
      <c r="I49" s="144">
        <f>Förderantrag!H39</f>
        <v>0</v>
      </c>
      <c r="J49" s="144">
        <f>Förderantrag!I39</f>
        <v>0</v>
      </c>
      <c r="K49" s="146">
        <f>Förderantrag!J39</f>
        <v>0</v>
      </c>
    </row>
    <row r="50" spans="1:19" ht="28.15" customHeight="1">
      <c r="A50" s="217"/>
      <c r="B50" s="100"/>
      <c r="D50" s="367" t="str">
        <f ca="1">IF(D49&lt;D41-D43,"Die max. Fördersumme wird nicht erreicht!",IF(D49&gt;D41-D43,"Die max. Fördersumme wird überschritten! Bitte korrigieren Sie die Daten auf dem Tabellenblatt [Förderantrag] in Zeile 39.",""))</f>
        <v/>
      </c>
      <c r="E50" s="98"/>
      <c r="F50" s="98"/>
      <c r="G50" s="98"/>
      <c r="H50" s="98"/>
      <c r="I50" s="98"/>
      <c r="J50" s="98"/>
      <c r="K50" s="11"/>
    </row>
    <row r="51" spans="1:19" ht="16.5" thickBot="1">
      <c r="A51" s="96" t="s">
        <v>186</v>
      </c>
    </row>
    <row r="52" spans="1:19" ht="20.45" customHeight="1">
      <c r="A52" s="99"/>
      <c r="B52" s="372" t="str">
        <f ca="1">IF(SUM(Zuw_Ausgaben_KuF[D])&lt;&gt;Zuw_Ausgaben_KuF[[#Totals],[D]],"Achtung: Es wurden Teilmaßnahmen mit Ausgaben ausgeblendet!","")</f>
        <v/>
      </c>
      <c r="L52" s="22" t="s">
        <v>34</v>
      </c>
      <c r="M52" s="23"/>
      <c r="N52" s="24"/>
      <c r="O52" s="149"/>
      <c r="P52" s="150" t="s">
        <v>187</v>
      </c>
      <c r="Q52" s="24"/>
      <c r="R52" s="24"/>
      <c r="S52" s="149"/>
    </row>
    <row r="53" spans="1:19" ht="60.6" customHeight="1">
      <c r="A53" s="489" t="s">
        <v>36</v>
      </c>
      <c r="B53" s="491" t="s">
        <v>37</v>
      </c>
      <c r="C53" s="527" t="s">
        <v>38</v>
      </c>
      <c r="D53" s="495" t="s">
        <v>48</v>
      </c>
      <c r="E53" s="151" t="s">
        <v>188</v>
      </c>
      <c r="F53" s="152" t="s">
        <v>189</v>
      </c>
      <c r="G53" s="153"/>
      <c r="H53" s="153"/>
      <c r="I53" s="153"/>
      <c r="J53" s="153"/>
      <c r="K53" s="153"/>
      <c r="L53" s="520" t="s">
        <v>39</v>
      </c>
      <c r="M53" s="521" t="s">
        <v>40</v>
      </c>
      <c r="N53" s="521" t="s">
        <v>41</v>
      </c>
      <c r="O53" s="522" t="s">
        <v>42</v>
      </c>
      <c r="P53" s="245" t="s">
        <v>43</v>
      </c>
      <c r="Q53" s="518" t="s">
        <v>49</v>
      </c>
      <c r="R53" s="246" t="s">
        <v>50</v>
      </c>
      <c r="S53" s="252" t="s">
        <v>190</v>
      </c>
    </row>
    <row r="54" spans="1:19" ht="24.6" customHeight="1">
      <c r="A54" s="490"/>
      <c r="B54" s="492"/>
      <c r="C54" s="528"/>
      <c r="D54" s="529"/>
      <c r="E54" s="15">
        <f ca="1">F54-1</f>
        <v>2025</v>
      </c>
      <c r="F54" s="16">
        <f ca="1">$K$3</f>
        <v>2026</v>
      </c>
      <c r="G54" s="16">
        <f t="shared" ref="G54:K54" ca="1" si="9">F54+1</f>
        <v>2027</v>
      </c>
      <c r="H54" s="16">
        <f t="shared" ca="1" si="9"/>
        <v>2028</v>
      </c>
      <c r="I54" s="16">
        <f t="shared" ca="1" si="9"/>
        <v>2029</v>
      </c>
      <c r="J54" s="16">
        <f t="shared" ca="1" si="9"/>
        <v>2030</v>
      </c>
      <c r="K54" s="17">
        <f t="shared" ca="1" si="9"/>
        <v>2031</v>
      </c>
      <c r="L54" s="500"/>
      <c r="M54" s="502"/>
      <c r="N54" s="502"/>
      <c r="O54" s="504"/>
      <c r="P54" s="247">
        <f>'grunds. zuwendungsf. Ausgaben'!H7</f>
        <v>0</v>
      </c>
      <c r="Q54" s="519"/>
      <c r="R54" s="248" t="s">
        <v>53</v>
      </c>
      <c r="S54" s="253" t="s">
        <v>53</v>
      </c>
    </row>
    <row r="55" spans="1:19" s="154" customFormat="1">
      <c r="A55" s="7" t="s">
        <v>54</v>
      </c>
      <c r="B55" s="8" t="s">
        <v>55</v>
      </c>
      <c r="C55" s="8" t="s">
        <v>56</v>
      </c>
      <c r="D55" s="9" t="s">
        <v>57</v>
      </c>
      <c r="E55" s="9" t="s">
        <v>58</v>
      </c>
      <c r="F55" s="9" t="s">
        <v>59</v>
      </c>
      <c r="G55" s="9" t="s">
        <v>60</v>
      </c>
      <c r="H55" s="9" t="s">
        <v>61</v>
      </c>
      <c r="I55" s="9" t="s">
        <v>62</v>
      </c>
      <c r="J55" s="9" t="s">
        <v>63</v>
      </c>
      <c r="K55" s="10" t="s">
        <v>64</v>
      </c>
      <c r="L55" s="18" t="s">
        <v>65</v>
      </c>
      <c r="M55" s="9" t="s">
        <v>66</v>
      </c>
      <c r="N55" s="9" t="s">
        <v>67</v>
      </c>
      <c r="O55" s="19" t="s">
        <v>68</v>
      </c>
      <c r="P55" s="334" t="s">
        <v>69</v>
      </c>
      <c r="Q55" s="233" t="s">
        <v>70</v>
      </c>
      <c r="R55" s="233" t="s">
        <v>71</v>
      </c>
      <c r="S55" s="254" t="s">
        <v>72</v>
      </c>
    </row>
    <row r="56" spans="1:19" ht="18" customHeight="1">
      <c r="A56" s="44">
        <v>1</v>
      </c>
      <c r="B56" s="57" t="str">
        <f>IF('grunds. zuwendungsf. Ausgaben'!B9="","",'grunds. zuwendungsf. Ausgaben'!B9)</f>
        <v/>
      </c>
      <c r="C56" s="56" t="str">
        <f>IF('grunds. zuwendungsf. Ausgaben'!C9="","",'grunds. zuwendungsf. Ausgaben'!C9)</f>
        <v/>
      </c>
      <c r="D56" s="66">
        <f ca="1">SUM(Zuw_Ausgaben_KuF[[#This Row],[E]:[K]])</f>
        <v>0</v>
      </c>
      <c r="E56" s="67" t="str">
        <f ca="1">IF(SUM('grunds. zuwendungsf. Ausgaben'!L9:OFFSET('grunds. zuwendungsf. Ausgaben'!L9,0,$M$4))=0,"",SUM('grunds. zuwendungsf. Ausgaben'!L9:OFFSET('grunds. zuwendungsf. Ausgaben'!L9,0,$M$4)))</f>
        <v/>
      </c>
      <c r="F56" s="68" t="str">
        <f ca="1">IF(IF($M$4&lt;13,OFFSET('grunds. zuwendungsf. Ausgaben'!M9,0,$M$4),)=0,"",IF($M$4&lt;13,OFFSET('grunds. zuwendungsf. Ausgaben'!M9,0,$M$4),))</f>
        <v/>
      </c>
      <c r="G56" s="67" t="str">
        <f ca="1">IF(IF($M$4&lt;12,OFFSET('grunds. zuwendungsf. Ausgaben'!N9,0,$M$4),)=0,"",IF($M$4&lt;12,OFFSET('grunds. zuwendungsf. Ausgaben'!N9,0,$M$4),))</f>
        <v/>
      </c>
      <c r="H56" s="67" t="str">
        <f ca="1">IF(IF($M$4&lt;11,OFFSET('grunds. zuwendungsf. Ausgaben'!O9,0,$M$4),)=0,"",IF($M$4&lt;11,OFFSET('grunds. zuwendungsf. Ausgaben'!O9,0,$M$4),))</f>
        <v/>
      </c>
      <c r="I56" s="67" t="str">
        <f ca="1">IF(IF($M$4&lt;10,OFFSET('grunds. zuwendungsf. Ausgaben'!P9,0,$M$4),)=0,"",IF($M$4&lt;10,OFFSET('grunds. zuwendungsf. Ausgaben'!P9,0,$M$4),))</f>
        <v/>
      </c>
      <c r="J56" s="67" t="str">
        <f ca="1">IF(IF($M$4&lt;9,OFFSET('grunds. zuwendungsf. Ausgaben'!Q9,0,$M$4),)=0,"",IF($M$4&lt;9,OFFSET('grunds. zuwendungsf. Ausgaben'!Q9,0,$M$4),))</f>
        <v/>
      </c>
      <c r="K56" s="69" t="str">
        <f ca="1">IF(IF($M$4&lt;8,SUM(OFFSET('grunds. zuwendungsf. Ausgaben'!R9,0,$M$4):'grunds. zuwendungsf. Ausgaben'!Y9),0)=0,"",IF($M$4&lt;8,SUM(OFFSET('grunds. zuwendungsf. Ausgaben'!R9,0,$M$4):'grunds. zuwendungsf. Ausgaben'!Y9),0))</f>
        <v/>
      </c>
      <c r="L56" s="59" t="str">
        <f>IF('grunds. zuwendungsf. Ausgaben'!D9="","",'grunds. zuwendungsf. Ausgaben'!D9)</f>
        <v/>
      </c>
      <c r="M56" s="60" t="str">
        <f>IF('grunds. zuwendungsf. Ausgaben'!E9="","",'grunds. zuwendungsf. Ausgaben'!E9)</f>
        <v/>
      </c>
      <c r="N56" s="60" t="str">
        <f>IF('grunds. zuwendungsf. Ausgaben'!F9="","",'grunds. zuwendungsf. Ausgaben'!F9)</f>
        <v/>
      </c>
      <c r="O56" s="61" t="str">
        <f>IF('grunds. zuwendungsf. Ausgaben'!G9="","",'grunds. zuwendungsf. Ausgaben'!G9)</f>
        <v/>
      </c>
      <c r="P56" s="249" t="str">
        <f>IF('grunds. zuwendungsf. Ausgaben'!H9="","",'grunds. zuwendungsf. Ausgaben'!H9)</f>
        <v/>
      </c>
      <c r="Q56" s="250" t="str">
        <f>IF('grunds. zuwendungsf. Ausgaben'!AA9="","",'grunds. zuwendungsf. Ausgaben'!AA9)</f>
        <v/>
      </c>
      <c r="R56" s="251" t="str">
        <f>IF('grunds. zuwendungsf. Ausgaben'!AB9="","",'grunds. zuwendungsf. Ausgaben'!AB9)</f>
        <v/>
      </c>
      <c r="S56" s="255" t="str">
        <f>IF('grunds. zuwendungsf. Ausgaben'!AC9="","",'grunds. zuwendungsf. Ausgaben'!AC9)</f>
        <v/>
      </c>
    </row>
    <row r="57" spans="1:19" s="126" customFormat="1">
      <c r="A57" s="44">
        <v>2</v>
      </c>
      <c r="B57" s="58" t="str">
        <f>IF('grunds. zuwendungsf. Ausgaben'!B10="","",'grunds. zuwendungsf. Ausgaben'!B10)</f>
        <v/>
      </c>
      <c r="C57" s="56" t="str">
        <f>IF('grunds. zuwendungsf. Ausgaben'!C10="","",'grunds. zuwendungsf. Ausgaben'!C10)</f>
        <v/>
      </c>
      <c r="D57" s="66">
        <f ca="1">SUM(Zuw_Ausgaben_KuF[[#This Row],[E]:[K]])</f>
        <v>0</v>
      </c>
      <c r="E57" s="67" t="str">
        <f ca="1">IF(SUM('grunds. zuwendungsf. Ausgaben'!L10:OFFSET('grunds. zuwendungsf. Ausgaben'!L10,0,$M$4))=0,"",SUM('grunds. zuwendungsf. Ausgaben'!L10:OFFSET('grunds. zuwendungsf. Ausgaben'!L10,0,$M$4)))</f>
        <v/>
      </c>
      <c r="F57" s="68" t="str">
        <f ca="1">IF(IF($M$4&lt;13,OFFSET('grunds. zuwendungsf. Ausgaben'!M10,0,$M$4),)=0,"",IF($M$4&lt;13,OFFSET('grunds. zuwendungsf. Ausgaben'!M10,0,$M$4),))</f>
        <v/>
      </c>
      <c r="G57" s="67" t="str">
        <f ca="1">IF(IF($M$4&lt;12,OFFSET('grunds. zuwendungsf. Ausgaben'!N10,0,$M$4),)=0,"",IF($M$4&lt;12,OFFSET('grunds. zuwendungsf. Ausgaben'!N10,0,$M$4),))</f>
        <v/>
      </c>
      <c r="H57" s="67" t="str">
        <f ca="1">IF(IF($M$4&lt;11,OFFSET('grunds. zuwendungsf. Ausgaben'!O10,0,$M$4),)=0,"",IF($M$4&lt;11,OFFSET('grunds. zuwendungsf. Ausgaben'!O10,0,$M$4),))</f>
        <v/>
      </c>
      <c r="I57" s="67" t="str">
        <f ca="1">IF(IF($M$4&lt;10,OFFSET('grunds. zuwendungsf. Ausgaben'!P10,0,$M$4),)=0,"",IF($M$4&lt;10,OFFSET('grunds. zuwendungsf. Ausgaben'!P10,0,$M$4),))</f>
        <v/>
      </c>
      <c r="J57" s="67" t="str">
        <f ca="1">IF(IF($M$4&lt;9,OFFSET('grunds. zuwendungsf. Ausgaben'!Q10,0,$M$4),)=0,"",IF($M$4&lt;9,OFFSET('grunds. zuwendungsf. Ausgaben'!Q10,0,$M$4),))</f>
        <v/>
      </c>
      <c r="K57" s="69" t="str">
        <f ca="1">IF(IF($M$4&lt;8,SUM(OFFSET('grunds. zuwendungsf. Ausgaben'!R10,0,$M$4):'grunds. zuwendungsf. Ausgaben'!Y10),0)=0,"",IF($M$4&lt;8,SUM(OFFSET('grunds. zuwendungsf. Ausgaben'!R10,0,$M$4):'grunds. zuwendungsf. Ausgaben'!Y10),0))</f>
        <v/>
      </c>
      <c r="L57" s="59" t="str">
        <f>IF('grunds. zuwendungsf. Ausgaben'!D10="","",'grunds. zuwendungsf. Ausgaben'!D10)</f>
        <v/>
      </c>
      <c r="M57" s="60" t="str">
        <f>IF('grunds. zuwendungsf. Ausgaben'!E10="","",'grunds. zuwendungsf. Ausgaben'!E10)</f>
        <v/>
      </c>
      <c r="N57" s="60" t="str">
        <f>IF('grunds. zuwendungsf. Ausgaben'!F10="","",'grunds. zuwendungsf. Ausgaben'!F10)</f>
        <v/>
      </c>
      <c r="O57" s="61" t="str">
        <f>IF('grunds. zuwendungsf. Ausgaben'!G10="","",'grunds. zuwendungsf. Ausgaben'!G10)</f>
        <v/>
      </c>
      <c r="P57" s="249" t="str">
        <f>IF('grunds. zuwendungsf. Ausgaben'!H10="","",'grunds. zuwendungsf. Ausgaben'!H10)</f>
        <v/>
      </c>
      <c r="Q57" s="250" t="str">
        <f>IF('grunds. zuwendungsf. Ausgaben'!AA10="","",'grunds. zuwendungsf. Ausgaben'!AA10)</f>
        <v/>
      </c>
      <c r="R57" s="251" t="str">
        <f>IF('grunds. zuwendungsf. Ausgaben'!AB10="","",'grunds. zuwendungsf. Ausgaben'!AB10)</f>
        <v/>
      </c>
      <c r="S57" s="255" t="str">
        <f>IF('grunds. zuwendungsf. Ausgaben'!AC10="","",'grunds. zuwendungsf. Ausgaben'!AC10)</f>
        <v/>
      </c>
    </row>
    <row r="58" spans="1:19" s="126" customFormat="1" ht="18" customHeight="1">
      <c r="A58" s="44">
        <v>3</v>
      </c>
      <c r="B58" s="57" t="str">
        <f>IF('grunds. zuwendungsf. Ausgaben'!B11="","",'grunds. zuwendungsf. Ausgaben'!B11)</f>
        <v/>
      </c>
      <c r="C58" s="56" t="str">
        <f>IF('grunds. zuwendungsf. Ausgaben'!C11="","",'grunds. zuwendungsf. Ausgaben'!C11)</f>
        <v/>
      </c>
      <c r="D58" s="66">
        <f ca="1">SUM(Zuw_Ausgaben_KuF[[#This Row],[E]:[K]])</f>
        <v>0</v>
      </c>
      <c r="E58" s="67" t="str">
        <f ca="1">IF(SUM('grunds. zuwendungsf. Ausgaben'!L11:OFFSET('grunds. zuwendungsf. Ausgaben'!L11,0,$M$4))=0,"",SUM('grunds. zuwendungsf. Ausgaben'!L11:OFFSET('grunds. zuwendungsf. Ausgaben'!L11,0,$M$4)))</f>
        <v/>
      </c>
      <c r="F58" s="68" t="str">
        <f ca="1">IF(IF($M$4&lt;13,OFFSET('grunds. zuwendungsf. Ausgaben'!M11,0,$M$4),)=0,"",IF($M$4&lt;13,OFFSET('grunds. zuwendungsf. Ausgaben'!M11,0,$M$4),))</f>
        <v/>
      </c>
      <c r="G58" s="67" t="str">
        <f ca="1">IF(IF($M$4&lt;12,OFFSET('grunds. zuwendungsf. Ausgaben'!N11,0,$M$4),)=0,"",IF($M$4&lt;12,OFFSET('grunds. zuwendungsf. Ausgaben'!N11,0,$M$4),))</f>
        <v/>
      </c>
      <c r="H58" s="67" t="str">
        <f ca="1">IF(IF($M$4&lt;11,OFFSET('grunds. zuwendungsf. Ausgaben'!O11,0,$M$4),)=0,"",IF($M$4&lt;11,OFFSET('grunds. zuwendungsf. Ausgaben'!O11,0,$M$4),))</f>
        <v/>
      </c>
      <c r="I58" s="67" t="str">
        <f ca="1">IF(IF($M$4&lt;10,OFFSET('grunds. zuwendungsf. Ausgaben'!P11,0,$M$4),)=0,"",IF($M$4&lt;10,OFFSET('grunds. zuwendungsf. Ausgaben'!P11,0,$M$4),))</f>
        <v/>
      </c>
      <c r="J58" s="67" t="str">
        <f ca="1">IF(IF($M$4&lt;9,OFFSET('grunds. zuwendungsf. Ausgaben'!Q11,0,$M$4),)=0,"",IF($M$4&lt;9,OFFSET('grunds. zuwendungsf. Ausgaben'!Q11,0,$M$4),))</f>
        <v/>
      </c>
      <c r="K58" s="69" t="str">
        <f ca="1">IF(IF($M$4&lt;8,SUM(OFFSET('grunds. zuwendungsf. Ausgaben'!R11,0,$M$4):'grunds. zuwendungsf. Ausgaben'!Y11),0)=0,"",IF($M$4&lt;8,SUM(OFFSET('grunds. zuwendungsf. Ausgaben'!R11,0,$M$4):'grunds. zuwendungsf. Ausgaben'!Y11),0))</f>
        <v/>
      </c>
      <c r="L58" s="59" t="str">
        <f>IF('grunds. zuwendungsf. Ausgaben'!D11="","",'grunds. zuwendungsf. Ausgaben'!D11)</f>
        <v/>
      </c>
      <c r="M58" s="60" t="str">
        <f>IF('grunds. zuwendungsf. Ausgaben'!E11="","",'grunds. zuwendungsf. Ausgaben'!E11)</f>
        <v/>
      </c>
      <c r="N58" s="60" t="str">
        <f>IF('grunds. zuwendungsf. Ausgaben'!F11="","",'grunds. zuwendungsf. Ausgaben'!F11)</f>
        <v/>
      </c>
      <c r="O58" s="61" t="str">
        <f>IF('grunds. zuwendungsf. Ausgaben'!G11="","",'grunds. zuwendungsf. Ausgaben'!G11)</f>
        <v/>
      </c>
      <c r="P58" s="249" t="str">
        <f>IF('grunds. zuwendungsf. Ausgaben'!H11="","",'grunds. zuwendungsf. Ausgaben'!H11)</f>
        <v/>
      </c>
      <c r="Q58" s="250" t="str">
        <f>IF('grunds. zuwendungsf. Ausgaben'!AA11="","",'grunds. zuwendungsf. Ausgaben'!AA11)</f>
        <v/>
      </c>
      <c r="R58" s="251" t="str">
        <f>IF('grunds. zuwendungsf. Ausgaben'!AB11="","",'grunds. zuwendungsf. Ausgaben'!AB11)</f>
        <v/>
      </c>
      <c r="S58" s="255" t="str">
        <f>IF('grunds. zuwendungsf. Ausgaben'!AC11="","",'grunds. zuwendungsf. Ausgaben'!AC11)</f>
        <v/>
      </c>
    </row>
    <row r="59" spans="1:19" s="126" customFormat="1" ht="18" customHeight="1">
      <c r="A59" s="44">
        <v>4</v>
      </c>
      <c r="B59" s="58" t="str">
        <f>IF('grunds. zuwendungsf. Ausgaben'!B12="","",'grunds. zuwendungsf. Ausgaben'!B12)</f>
        <v/>
      </c>
      <c r="C59" s="56" t="str">
        <f>IF('grunds. zuwendungsf. Ausgaben'!C12="","",'grunds. zuwendungsf. Ausgaben'!C12)</f>
        <v/>
      </c>
      <c r="D59" s="66">
        <f ca="1">SUM(Zuw_Ausgaben_KuF[[#This Row],[E]:[K]])</f>
        <v>0</v>
      </c>
      <c r="E59" s="67" t="str">
        <f ca="1">IF(SUM('grunds. zuwendungsf. Ausgaben'!L12:OFFSET('grunds. zuwendungsf. Ausgaben'!L12,0,$M$4))=0,"",SUM('grunds. zuwendungsf. Ausgaben'!L12:OFFSET('grunds. zuwendungsf. Ausgaben'!L12,0,$M$4)))</f>
        <v/>
      </c>
      <c r="F59" s="68" t="str">
        <f ca="1">IF(IF($M$4&lt;13,OFFSET('grunds. zuwendungsf. Ausgaben'!M12,0,$M$4),)=0,"",IF($M$4&lt;13,OFFSET('grunds. zuwendungsf. Ausgaben'!M12,0,$M$4),))</f>
        <v/>
      </c>
      <c r="G59" s="67" t="str">
        <f ca="1">IF(IF($M$4&lt;12,OFFSET('grunds. zuwendungsf. Ausgaben'!N12,0,$M$4),)=0,"",IF($M$4&lt;12,OFFSET('grunds. zuwendungsf. Ausgaben'!N12,0,$M$4),))</f>
        <v/>
      </c>
      <c r="H59" s="67" t="str">
        <f ca="1">IF(IF($M$4&lt;11,OFFSET('grunds. zuwendungsf. Ausgaben'!O12,0,$M$4),)=0,"",IF($M$4&lt;11,OFFSET('grunds. zuwendungsf. Ausgaben'!O12,0,$M$4),))</f>
        <v/>
      </c>
      <c r="I59" s="67" t="str">
        <f ca="1">IF(IF($M$4&lt;10,OFFSET('grunds. zuwendungsf. Ausgaben'!P12,0,$M$4),)=0,"",IF($M$4&lt;10,OFFSET('grunds. zuwendungsf. Ausgaben'!P12,0,$M$4),))</f>
        <v/>
      </c>
      <c r="J59" s="67" t="str">
        <f ca="1">IF(IF($M$4&lt;9,OFFSET('grunds. zuwendungsf. Ausgaben'!Q12,0,$M$4),)=0,"",IF($M$4&lt;9,OFFSET('grunds. zuwendungsf. Ausgaben'!Q12,0,$M$4),))</f>
        <v/>
      </c>
      <c r="K59" s="69" t="str">
        <f ca="1">IF(IF($M$4&lt;8,SUM(OFFSET('grunds. zuwendungsf. Ausgaben'!R12,0,$M$4):'grunds. zuwendungsf. Ausgaben'!Y12),0)=0,"",IF($M$4&lt;8,SUM(OFFSET('grunds. zuwendungsf. Ausgaben'!R12,0,$M$4):'grunds. zuwendungsf. Ausgaben'!Y12),0))</f>
        <v/>
      </c>
      <c r="L59" s="59" t="str">
        <f>IF('grunds. zuwendungsf. Ausgaben'!D12="","",'grunds. zuwendungsf. Ausgaben'!D12)</f>
        <v/>
      </c>
      <c r="M59" s="60" t="str">
        <f>IF('grunds. zuwendungsf. Ausgaben'!E12="","",'grunds. zuwendungsf. Ausgaben'!E12)</f>
        <v/>
      </c>
      <c r="N59" s="60" t="str">
        <f>IF('grunds. zuwendungsf. Ausgaben'!F12="","",'grunds. zuwendungsf. Ausgaben'!F12)</f>
        <v/>
      </c>
      <c r="O59" s="61" t="str">
        <f>IF('grunds. zuwendungsf. Ausgaben'!G12="","",'grunds. zuwendungsf. Ausgaben'!G12)</f>
        <v/>
      </c>
      <c r="P59" s="249" t="str">
        <f>IF('grunds. zuwendungsf. Ausgaben'!H12="","",'grunds. zuwendungsf. Ausgaben'!H12)</f>
        <v/>
      </c>
      <c r="Q59" s="250" t="str">
        <f>IF('grunds. zuwendungsf. Ausgaben'!AA12="","",'grunds. zuwendungsf. Ausgaben'!AA12)</f>
        <v/>
      </c>
      <c r="R59" s="251" t="str">
        <f>IF('grunds. zuwendungsf. Ausgaben'!AB12="","",'grunds. zuwendungsf. Ausgaben'!AB12)</f>
        <v/>
      </c>
      <c r="S59" s="255" t="str">
        <f>IF('grunds. zuwendungsf. Ausgaben'!AC12="","",'grunds. zuwendungsf. Ausgaben'!AC12)</f>
        <v/>
      </c>
    </row>
    <row r="60" spans="1:19" s="126" customFormat="1" ht="18" customHeight="1">
      <c r="A60" s="44">
        <v>5</v>
      </c>
      <c r="B60" s="58" t="str">
        <f>IF('grunds. zuwendungsf. Ausgaben'!B13="","",'grunds. zuwendungsf. Ausgaben'!B13)</f>
        <v/>
      </c>
      <c r="C60" s="56" t="str">
        <f>IF('grunds. zuwendungsf. Ausgaben'!C13="","",'grunds. zuwendungsf. Ausgaben'!C13)</f>
        <v/>
      </c>
      <c r="D60" s="66">
        <f ca="1">SUM(Zuw_Ausgaben_KuF[[#This Row],[E]:[K]])</f>
        <v>0</v>
      </c>
      <c r="E60" s="67" t="str">
        <f ca="1">IF(SUM('grunds. zuwendungsf. Ausgaben'!L13:OFFSET('grunds. zuwendungsf. Ausgaben'!L13,0,$M$4))=0,"",SUM('grunds. zuwendungsf. Ausgaben'!L13:OFFSET('grunds. zuwendungsf. Ausgaben'!L13,0,$M$4)))</f>
        <v/>
      </c>
      <c r="F60" s="68" t="str">
        <f ca="1">IF(IF($M$4&lt;13,OFFSET('grunds. zuwendungsf. Ausgaben'!M13,0,$M$4),)=0,"",IF($M$4&lt;13,OFFSET('grunds. zuwendungsf. Ausgaben'!M13,0,$M$4),))</f>
        <v/>
      </c>
      <c r="G60" s="67" t="str">
        <f ca="1">IF(IF($M$4&lt;12,OFFSET('grunds. zuwendungsf. Ausgaben'!N13,0,$M$4),)=0,"",IF($M$4&lt;12,OFFSET('grunds. zuwendungsf. Ausgaben'!N13,0,$M$4),))</f>
        <v/>
      </c>
      <c r="H60" s="67" t="str">
        <f ca="1">IF(IF($M$4&lt;11,OFFSET('grunds. zuwendungsf. Ausgaben'!O13,0,$M$4),)=0,"",IF($M$4&lt;11,OFFSET('grunds. zuwendungsf. Ausgaben'!O13,0,$M$4),))</f>
        <v/>
      </c>
      <c r="I60" s="67" t="str">
        <f ca="1">IF(IF($M$4&lt;10,OFFSET('grunds. zuwendungsf. Ausgaben'!P13,0,$M$4),)=0,"",IF($M$4&lt;10,OFFSET('grunds. zuwendungsf. Ausgaben'!P13,0,$M$4),))</f>
        <v/>
      </c>
      <c r="J60" s="67" t="str">
        <f ca="1">IF(IF($M$4&lt;9,OFFSET('grunds. zuwendungsf. Ausgaben'!Q13,0,$M$4),)=0,"",IF($M$4&lt;9,OFFSET('grunds. zuwendungsf. Ausgaben'!Q13,0,$M$4),))</f>
        <v/>
      </c>
      <c r="K60" s="69" t="str">
        <f ca="1">IF(IF($M$4&lt;8,SUM(OFFSET('grunds. zuwendungsf. Ausgaben'!R13,0,$M$4):'grunds. zuwendungsf. Ausgaben'!Y13),0)=0,"",IF($M$4&lt;8,SUM(OFFSET('grunds. zuwendungsf. Ausgaben'!R13,0,$M$4):'grunds. zuwendungsf. Ausgaben'!Y13),0))</f>
        <v/>
      </c>
      <c r="L60" s="59" t="str">
        <f>IF('grunds. zuwendungsf. Ausgaben'!D13="","",'grunds. zuwendungsf. Ausgaben'!D13)</f>
        <v/>
      </c>
      <c r="M60" s="60" t="str">
        <f>IF('grunds. zuwendungsf. Ausgaben'!E13="","",'grunds. zuwendungsf. Ausgaben'!E13)</f>
        <v/>
      </c>
      <c r="N60" s="60" t="str">
        <f>IF('grunds. zuwendungsf. Ausgaben'!F13="","",'grunds. zuwendungsf. Ausgaben'!F13)</f>
        <v/>
      </c>
      <c r="O60" s="61" t="str">
        <f>IF('grunds. zuwendungsf. Ausgaben'!G13="","",'grunds. zuwendungsf. Ausgaben'!G13)</f>
        <v/>
      </c>
      <c r="P60" s="249" t="str">
        <f>IF('grunds. zuwendungsf. Ausgaben'!H13="","",'grunds. zuwendungsf. Ausgaben'!H13)</f>
        <v/>
      </c>
      <c r="Q60" s="250" t="str">
        <f>IF('grunds. zuwendungsf. Ausgaben'!AA13="","",'grunds. zuwendungsf. Ausgaben'!AA13)</f>
        <v/>
      </c>
      <c r="R60" s="251" t="str">
        <f>IF('grunds. zuwendungsf. Ausgaben'!AB13="","",'grunds. zuwendungsf. Ausgaben'!AB13)</f>
        <v/>
      </c>
      <c r="S60" s="255" t="str">
        <f>IF('grunds. zuwendungsf. Ausgaben'!AC13="","",'grunds. zuwendungsf. Ausgaben'!AC13)</f>
        <v/>
      </c>
    </row>
    <row r="61" spans="1:19" s="126" customFormat="1" ht="18" customHeight="1">
      <c r="A61" s="44">
        <v>6</v>
      </c>
      <c r="B61" s="58" t="str">
        <f>IF('grunds. zuwendungsf. Ausgaben'!B14="","",'grunds. zuwendungsf. Ausgaben'!B14)</f>
        <v/>
      </c>
      <c r="C61" s="56" t="str">
        <f>IF('grunds. zuwendungsf. Ausgaben'!C14="","",'grunds. zuwendungsf. Ausgaben'!C14)</f>
        <v/>
      </c>
      <c r="D61" s="66">
        <f ca="1">SUM(Zuw_Ausgaben_KuF[[#This Row],[E]:[K]])</f>
        <v>0</v>
      </c>
      <c r="E61" s="67" t="str">
        <f ca="1">IF(SUM('grunds. zuwendungsf. Ausgaben'!L14:OFFSET('grunds. zuwendungsf. Ausgaben'!L14,0,$M$4))=0,"",SUM('grunds. zuwendungsf. Ausgaben'!L14:OFFSET('grunds. zuwendungsf. Ausgaben'!L14,0,$M$4)))</f>
        <v/>
      </c>
      <c r="F61" s="68" t="str">
        <f ca="1">IF(IF($M$4&lt;13,OFFSET('grunds. zuwendungsf. Ausgaben'!M14,0,$M$4),)=0,"",IF($M$4&lt;13,OFFSET('grunds. zuwendungsf. Ausgaben'!M14,0,$M$4),))</f>
        <v/>
      </c>
      <c r="G61" s="67" t="str">
        <f ca="1">IF(IF($M$4&lt;12,OFFSET('grunds. zuwendungsf. Ausgaben'!N14,0,$M$4),)=0,"",IF($M$4&lt;12,OFFSET('grunds. zuwendungsf. Ausgaben'!N14,0,$M$4),))</f>
        <v/>
      </c>
      <c r="H61" s="67" t="str">
        <f ca="1">IF(IF($M$4&lt;11,OFFSET('grunds. zuwendungsf. Ausgaben'!O14,0,$M$4),)=0,"",IF($M$4&lt;11,OFFSET('grunds. zuwendungsf. Ausgaben'!O14,0,$M$4),))</f>
        <v/>
      </c>
      <c r="I61" s="67" t="str">
        <f ca="1">IF(IF($M$4&lt;10,OFFSET('grunds. zuwendungsf. Ausgaben'!P14,0,$M$4),)=0,"",IF($M$4&lt;10,OFFSET('grunds. zuwendungsf. Ausgaben'!P14,0,$M$4),))</f>
        <v/>
      </c>
      <c r="J61" s="67" t="str">
        <f ca="1">IF(IF($M$4&lt;9,OFFSET('grunds. zuwendungsf. Ausgaben'!Q14,0,$M$4),)=0,"",IF($M$4&lt;9,OFFSET('grunds. zuwendungsf. Ausgaben'!Q14,0,$M$4),))</f>
        <v/>
      </c>
      <c r="K61" s="69" t="str">
        <f ca="1">IF(IF($M$4&lt;8,SUM(OFFSET('grunds. zuwendungsf. Ausgaben'!R14,0,$M$4):'grunds. zuwendungsf. Ausgaben'!Y14),0)=0,"",IF($M$4&lt;8,SUM(OFFSET('grunds. zuwendungsf. Ausgaben'!R14,0,$M$4):'grunds. zuwendungsf. Ausgaben'!Y14),0))</f>
        <v/>
      </c>
      <c r="L61" s="59" t="str">
        <f>IF('grunds. zuwendungsf. Ausgaben'!D14="","",'grunds. zuwendungsf. Ausgaben'!D14)</f>
        <v/>
      </c>
      <c r="M61" s="60" t="str">
        <f>IF('grunds. zuwendungsf. Ausgaben'!E14="","",'grunds. zuwendungsf. Ausgaben'!E14)</f>
        <v/>
      </c>
      <c r="N61" s="60" t="str">
        <f>IF('grunds. zuwendungsf. Ausgaben'!F14="","",'grunds. zuwendungsf. Ausgaben'!F14)</f>
        <v/>
      </c>
      <c r="O61" s="61" t="str">
        <f>IF('grunds. zuwendungsf. Ausgaben'!G14="","",'grunds. zuwendungsf. Ausgaben'!G14)</f>
        <v/>
      </c>
      <c r="P61" s="249" t="str">
        <f>IF('grunds. zuwendungsf. Ausgaben'!H14="","",'grunds. zuwendungsf. Ausgaben'!H14)</f>
        <v/>
      </c>
      <c r="Q61" s="250" t="str">
        <f>IF('grunds. zuwendungsf. Ausgaben'!AA14="","",'grunds. zuwendungsf. Ausgaben'!AA14)</f>
        <v/>
      </c>
      <c r="R61" s="251" t="str">
        <f>IF('grunds. zuwendungsf. Ausgaben'!AB14="","",'grunds. zuwendungsf. Ausgaben'!AB14)</f>
        <v/>
      </c>
      <c r="S61" s="255" t="str">
        <f>IF('grunds. zuwendungsf. Ausgaben'!AC14="","",'grunds. zuwendungsf. Ausgaben'!AC14)</f>
        <v/>
      </c>
    </row>
    <row r="62" spans="1:19" s="126" customFormat="1" ht="18" customHeight="1">
      <c r="A62" s="44">
        <v>7</v>
      </c>
      <c r="B62" s="58" t="str">
        <f>IF('grunds. zuwendungsf. Ausgaben'!B15="","",'grunds. zuwendungsf. Ausgaben'!B15)</f>
        <v/>
      </c>
      <c r="C62" s="56" t="str">
        <f>IF('grunds. zuwendungsf. Ausgaben'!C15="","",'grunds. zuwendungsf. Ausgaben'!C15)</f>
        <v/>
      </c>
      <c r="D62" s="66">
        <f ca="1">SUM(Zuw_Ausgaben_KuF[[#This Row],[E]:[K]])</f>
        <v>0</v>
      </c>
      <c r="E62" s="67" t="str">
        <f ca="1">IF(SUM('grunds. zuwendungsf. Ausgaben'!L15:OFFSET('grunds. zuwendungsf. Ausgaben'!L15,0,$M$4))=0,"",SUM('grunds. zuwendungsf. Ausgaben'!L15:OFFSET('grunds. zuwendungsf. Ausgaben'!L15,0,$M$4)))</f>
        <v/>
      </c>
      <c r="F62" s="68" t="str">
        <f ca="1">IF(IF($M$4&lt;13,OFFSET('grunds. zuwendungsf. Ausgaben'!M15,0,$M$4),)=0,"",IF($M$4&lt;13,OFFSET('grunds. zuwendungsf. Ausgaben'!M15,0,$M$4),))</f>
        <v/>
      </c>
      <c r="G62" s="67" t="str">
        <f ca="1">IF(IF($M$4&lt;12,OFFSET('grunds. zuwendungsf. Ausgaben'!N15,0,$M$4),)=0,"",IF($M$4&lt;12,OFFSET('grunds. zuwendungsf. Ausgaben'!N15,0,$M$4),))</f>
        <v/>
      </c>
      <c r="H62" s="67" t="str">
        <f ca="1">IF(IF($M$4&lt;11,OFFSET('grunds. zuwendungsf. Ausgaben'!O15,0,$M$4),)=0,"",IF($M$4&lt;11,OFFSET('grunds. zuwendungsf. Ausgaben'!O15,0,$M$4),))</f>
        <v/>
      </c>
      <c r="I62" s="67" t="str">
        <f ca="1">IF(IF($M$4&lt;10,OFFSET('grunds. zuwendungsf. Ausgaben'!P15,0,$M$4),)=0,"",IF($M$4&lt;10,OFFSET('grunds. zuwendungsf. Ausgaben'!P15,0,$M$4),))</f>
        <v/>
      </c>
      <c r="J62" s="67" t="str">
        <f ca="1">IF(IF($M$4&lt;9,OFFSET('grunds. zuwendungsf. Ausgaben'!Q15,0,$M$4),)=0,"",IF($M$4&lt;9,OFFSET('grunds. zuwendungsf. Ausgaben'!Q15,0,$M$4),))</f>
        <v/>
      </c>
      <c r="K62" s="69" t="str">
        <f ca="1">IF(IF($M$4&lt;8,SUM(OFFSET('grunds. zuwendungsf. Ausgaben'!R15,0,$M$4):'grunds. zuwendungsf. Ausgaben'!Y15),0)=0,"",IF($M$4&lt;8,SUM(OFFSET('grunds. zuwendungsf. Ausgaben'!R15,0,$M$4):'grunds. zuwendungsf. Ausgaben'!Y15),0))</f>
        <v/>
      </c>
      <c r="L62" s="59" t="str">
        <f>IF('grunds. zuwendungsf. Ausgaben'!D15="","",'grunds. zuwendungsf. Ausgaben'!D15)</f>
        <v/>
      </c>
      <c r="M62" s="60" t="str">
        <f>IF('grunds. zuwendungsf. Ausgaben'!E15="","",'grunds. zuwendungsf. Ausgaben'!E15)</f>
        <v/>
      </c>
      <c r="N62" s="60" t="str">
        <f>IF('grunds. zuwendungsf. Ausgaben'!F15="","",'grunds. zuwendungsf. Ausgaben'!F15)</f>
        <v/>
      </c>
      <c r="O62" s="61" t="str">
        <f>IF('grunds. zuwendungsf. Ausgaben'!G15="","",'grunds. zuwendungsf. Ausgaben'!G15)</f>
        <v/>
      </c>
      <c r="P62" s="249" t="str">
        <f>IF('grunds. zuwendungsf. Ausgaben'!H15="","",'grunds. zuwendungsf. Ausgaben'!H15)</f>
        <v/>
      </c>
      <c r="Q62" s="250" t="str">
        <f>IF('grunds. zuwendungsf. Ausgaben'!AA15="","",'grunds. zuwendungsf. Ausgaben'!AA15)</f>
        <v/>
      </c>
      <c r="R62" s="251" t="str">
        <f>IF('grunds. zuwendungsf. Ausgaben'!AB15="","",'grunds. zuwendungsf. Ausgaben'!AB15)</f>
        <v/>
      </c>
      <c r="S62" s="255" t="str">
        <f>IF('grunds. zuwendungsf. Ausgaben'!AC15="","",'grunds. zuwendungsf. Ausgaben'!AC15)</f>
        <v/>
      </c>
    </row>
    <row r="63" spans="1:19" s="126" customFormat="1" ht="18" customHeight="1">
      <c r="A63" s="44">
        <v>8</v>
      </c>
      <c r="B63" s="58" t="str">
        <f>IF('grunds. zuwendungsf. Ausgaben'!B16="","",'grunds. zuwendungsf. Ausgaben'!B16)</f>
        <v/>
      </c>
      <c r="C63" s="56" t="str">
        <f>IF('grunds. zuwendungsf. Ausgaben'!C16="","",'grunds. zuwendungsf. Ausgaben'!C16)</f>
        <v/>
      </c>
      <c r="D63" s="66">
        <f ca="1">SUM(Zuw_Ausgaben_KuF[[#This Row],[E]:[K]])</f>
        <v>0</v>
      </c>
      <c r="E63" s="67" t="str">
        <f ca="1">IF(SUM('grunds. zuwendungsf. Ausgaben'!L16:OFFSET('grunds. zuwendungsf. Ausgaben'!L16,0,$M$4))=0,"",SUM('grunds. zuwendungsf. Ausgaben'!L16:OFFSET('grunds. zuwendungsf. Ausgaben'!L16,0,$M$4)))</f>
        <v/>
      </c>
      <c r="F63" s="68" t="str">
        <f ca="1">IF(IF($M$4&lt;13,OFFSET('grunds. zuwendungsf. Ausgaben'!M16,0,$M$4),)=0,"",IF($M$4&lt;13,OFFSET('grunds. zuwendungsf. Ausgaben'!M16,0,$M$4),))</f>
        <v/>
      </c>
      <c r="G63" s="67" t="str">
        <f ca="1">IF(IF($M$4&lt;12,OFFSET('grunds. zuwendungsf. Ausgaben'!N16,0,$M$4),)=0,"",IF($M$4&lt;12,OFFSET('grunds. zuwendungsf. Ausgaben'!N16,0,$M$4),))</f>
        <v/>
      </c>
      <c r="H63" s="67" t="str">
        <f ca="1">IF(IF($M$4&lt;11,OFFSET('grunds. zuwendungsf. Ausgaben'!O16,0,$M$4),)=0,"",IF($M$4&lt;11,OFFSET('grunds. zuwendungsf. Ausgaben'!O16,0,$M$4),))</f>
        <v/>
      </c>
      <c r="I63" s="67" t="str">
        <f ca="1">IF(IF($M$4&lt;10,OFFSET('grunds. zuwendungsf. Ausgaben'!P16,0,$M$4),)=0,"",IF($M$4&lt;10,OFFSET('grunds. zuwendungsf. Ausgaben'!P16,0,$M$4),))</f>
        <v/>
      </c>
      <c r="J63" s="67" t="str">
        <f ca="1">IF(IF($M$4&lt;9,OFFSET('grunds. zuwendungsf. Ausgaben'!Q16,0,$M$4),)=0,"",IF($M$4&lt;9,OFFSET('grunds. zuwendungsf. Ausgaben'!Q16,0,$M$4),))</f>
        <v/>
      </c>
      <c r="K63" s="69" t="str">
        <f ca="1">IF(IF($M$4&lt;8,SUM(OFFSET('grunds. zuwendungsf. Ausgaben'!R16,0,$M$4):'grunds. zuwendungsf. Ausgaben'!Y16),0)=0,"",IF($M$4&lt;8,SUM(OFFSET('grunds. zuwendungsf. Ausgaben'!R16,0,$M$4):'grunds. zuwendungsf. Ausgaben'!Y16),0))</f>
        <v/>
      </c>
      <c r="L63" s="59" t="str">
        <f>IF('grunds. zuwendungsf. Ausgaben'!D16="","",'grunds. zuwendungsf. Ausgaben'!D16)</f>
        <v/>
      </c>
      <c r="M63" s="60" t="str">
        <f>IF('grunds. zuwendungsf. Ausgaben'!E16="","",'grunds. zuwendungsf. Ausgaben'!E16)</f>
        <v/>
      </c>
      <c r="N63" s="60" t="str">
        <f>IF('grunds. zuwendungsf. Ausgaben'!F16="","",'grunds. zuwendungsf. Ausgaben'!F16)</f>
        <v/>
      </c>
      <c r="O63" s="61" t="str">
        <f>IF('grunds. zuwendungsf. Ausgaben'!G16="","",'grunds. zuwendungsf. Ausgaben'!G16)</f>
        <v/>
      </c>
      <c r="P63" s="249" t="str">
        <f>IF('grunds. zuwendungsf. Ausgaben'!H16="","",'grunds. zuwendungsf. Ausgaben'!H16)</f>
        <v/>
      </c>
      <c r="Q63" s="250" t="str">
        <f>IF('grunds. zuwendungsf. Ausgaben'!AA16="","",'grunds. zuwendungsf. Ausgaben'!AA16)</f>
        <v/>
      </c>
      <c r="R63" s="251" t="str">
        <f>IF('grunds. zuwendungsf. Ausgaben'!AB16="","",'grunds. zuwendungsf. Ausgaben'!AB16)</f>
        <v/>
      </c>
      <c r="S63" s="255" t="str">
        <f>IF('grunds. zuwendungsf. Ausgaben'!AC16="","",'grunds. zuwendungsf. Ausgaben'!AC16)</f>
        <v/>
      </c>
    </row>
    <row r="64" spans="1:19" s="126" customFormat="1" ht="18" customHeight="1">
      <c r="A64" s="44">
        <v>9</v>
      </c>
      <c r="B64" s="57" t="str">
        <f>IF('grunds. zuwendungsf. Ausgaben'!B17="","",'grunds. zuwendungsf. Ausgaben'!B17)</f>
        <v/>
      </c>
      <c r="C64" s="56" t="str">
        <f>IF('grunds. zuwendungsf. Ausgaben'!C17="","",'grunds. zuwendungsf. Ausgaben'!C17)</f>
        <v/>
      </c>
      <c r="D64" s="66">
        <f ca="1">SUM(Zuw_Ausgaben_KuF[[#This Row],[E]:[K]])</f>
        <v>0</v>
      </c>
      <c r="E64" s="67" t="str">
        <f ca="1">IF(SUM('grunds. zuwendungsf. Ausgaben'!L17:OFFSET('grunds. zuwendungsf. Ausgaben'!L17,0,$M$4))=0,"",SUM('grunds. zuwendungsf. Ausgaben'!L17:OFFSET('grunds. zuwendungsf. Ausgaben'!L17,0,$M$4)))</f>
        <v/>
      </c>
      <c r="F64" s="68" t="str">
        <f ca="1">IF(IF($M$4&lt;13,OFFSET('grunds. zuwendungsf. Ausgaben'!M17,0,$M$4),)=0,"",IF($M$4&lt;13,OFFSET('grunds. zuwendungsf. Ausgaben'!M17,0,$M$4),))</f>
        <v/>
      </c>
      <c r="G64" s="67" t="str">
        <f ca="1">IF(IF($M$4&lt;12,OFFSET('grunds. zuwendungsf. Ausgaben'!N17,0,$M$4),)=0,"",IF($M$4&lt;12,OFFSET('grunds. zuwendungsf. Ausgaben'!N17,0,$M$4),))</f>
        <v/>
      </c>
      <c r="H64" s="67" t="str">
        <f ca="1">IF(IF($M$4&lt;11,OFFSET('grunds. zuwendungsf. Ausgaben'!O17,0,$M$4),)=0,"",IF($M$4&lt;11,OFFSET('grunds. zuwendungsf. Ausgaben'!O17,0,$M$4),))</f>
        <v/>
      </c>
      <c r="I64" s="67" t="str">
        <f ca="1">IF(IF($M$4&lt;10,OFFSET('grunds. zuwendungsf. Ausgaben'!P17,0,$M$4),)=0,"",IF($M$4&lt;10,OFFSET('grunds. zuwendungsf. Ausgaben'!P17,0,$M$4),))</f>
        <v/>
      </c>
      <c r="J64" s="67" t="str">
        <f ca="1">IF(IF($M$4&lt;9,OFFSET('grunds. zuwendungsf. Ausgaben'!Q17,0,$M$4),)=0,"",IF($M$4&lt;9,OFFSET('grunds. zuwendungsf. Ausgaben'!Q17,0,$M$4),))</f>
        <v/>
      </c>
      <c r="K64" s="69" t="str">
        <f ca="1">IF(IF($M$4&lt;8,SUM(OFFSET('grunds. zuwendungsf. Ausgaben'!R17,0,$M$4):'grunds. zuwendungsf. Ausgaben'!Y17),0)=0,"",IF($M$4&lt;8,SUM(OFFSET('grunds. zuwendungsf. Ausgaben'!R17,0,$M$4):'grunds. zuwendungsf. Ausgaben'!Y17),0))</f>
        <v/>
      </c>
      <c r="L64" s="59" t="str">
        <f>IF('grunds. zuwendungsf. Ausgaben'!D17="","",'grunds. zuwendungsf. Ausgaben'!D17)</f>
        <v/>
      </c>
      <c r="M64" s="60" t="str">
        <f>IF('grunds. zuwendungsf. Ausgaben'!E17="","",'grunds. zuwendungsf. Ausgaben'!E17)</f>
        <v/>
      </c>
      <c r="N64" s="60" t="str">
        <f>IF('grunds. zuwendungsf. Ausgaben'!F17="","",'grunds. zuwendungsf. Ausgaben'!F17)</f>
        <v/>
      </c>
      <c r="O64" s="61" t="str">
        <f>IF('grunds. zuwendungsf. Ausgaben'!G17="","",'grunds. zuwendungsf. Ausgaben'!G17)</f>
        <v/>
      </c>
      <c r="P64" s="249" t="str">
        <f>IF('grunds. zuwendungsf. Ausgaben'!H17="","",'grunds. zuwendungsf. Ausgaben'!H17)</f>
        <v/>
      </c>
      <c r="Q64" s="250" t="str">
        <f>IF('grunds. zuwendungsf. Ausgaben'!AA17="","",'grunds. zuwendungsf. Ausgaben'!AA17)</f>
        <v/>
      </c>
      <c r="R64" s="251" t="str">
        <f>IF('grunds. zuwendungsf. Ausgaben'!AB17="","",'grunds. zuwendungsf. Ausgaben'!AB17)</f>
        <v/>
      </c>
      <c r="S64" s="255" t="str">
        <f>IF('grunds. zuwendungsf. Ausgaben'!AC17="","",'grunds. zuwendungsf. Ausgaben'!AC17)</f>
        <v/>
      </c>
    </row>
    <row r="65" spans="1:19" ht="18" customHeight="1">
      <c r="A65" s="44">
        <v>10</v>
      </c>
      <c r="B65" s="58" t="str">
        <f>IF('grunds. zuwendungsf. Ausgaben'!B18="","",'grunds. zuwendungsf. Ausgaben'!B18)</f>
        <v/>
      </c>
      <c r="C65" s="56" t="str">
        <f>IF('grunds. zuwendungsf. Ausgaben'!C18="","",'grunds. zuwendungsf. Ausgaben'!C18)</f>
        <v/>
      </c>
      <c r="D65" s="66">
        <f ca="1">SUM(Zuw_Ausgaben_KuF[[#This Row],[E]:[K]])</f>
        <v>0</v>
      </c>
      <c r="E65" s="67" t="str">
        <f ca="1">IF(SUM('grunds. zuwendungsf. Ausgaben'!L18:OFFSET('grunds. zuwendungsf. Ausgaben'!L18,0,$M$4))=0,"",SUM('grunds. zuwendungsf. Ausgaben'!L18:OFFSET('grunds. zuwendungsf. Ausgaben'!L18,0,$M$4)))</f>
        <v/>
      </c>
      <c r="F65" s="68" t="str">
        <f ca="1">IF(IF($M$4&lt;13,OFFSET('grunds. zuwendungsf. Ausgaben'!M18,0,$M$4),)=0,"",IF($M$4&lt;13,OFFSET('grunds. zuwendungsf. Ausgaben'!M18,0,$M$4),))</f>
        <v/>
      </c>
      <c r="G65" s="67" t="str">
        <f ca="1">IF(IF($M$4&lt;12,OFFSET('grunds. zuwendungsf. Ausgaben'!N18,0,$M$4),)=0,"",IF($M$4&lt;12,OFFSET('grunds. zuwendungsf. Ausgaben'!N18,0,$M$4),))</f>
        <v/>
      </c>
      <c r="H65" s="67" t="str">
        <f ca="1">IF(IF($M$4&lt;11,OFFSET('grunds. zuwendungsf. Ausgaben'!O18,0,$M$4),)=0,"",IF($M$4&lt;11,OFFSET('grunds. zuwendungsf. Ausgaben'!O18,0,$M$4),))</f>
        <v/>
      </c>
      <c r="I65" s="67" t="str">
        <f ca="1">IF(IF($M$4&lt;10,OFFSET('grunds. zuwendungsf. Ausgaben'!P18,0,$M$4),)=0,"",IF($M$4&lt;10,OFFSET('grunds. zuwendungsf. Ausgaben'!P18,0,$M$4),))</f>
        <v/>
      </c>
      <c r="J65" s="67" t="str">
        <f ca="1">IF(IF($M$4&lt;9,OFFSET('grunds. zuwendungsf. Ausgaben'!Q18,0,$M$4),)=0,"",IF($M$4&lt;9,OFFSET('grunds. zuwendungsf. Ausgaben'!Q18,0,$M$4),))</f>
        <v/>
      </c>
      <c r="K65" s="69" t="str">
        <f ca="1">IF(IF($M$4&lt;8,SUM(OFFSET('grunds. zuwendungsf. Ausgaben'!R18,0,$M$4):'grunds. zuwendungsf. Ausgaben'!Y18),0)=0,"",IF($M$4&lt;8,SUM(OFFSET('grunds. zuwendungsf. Ausgaben'!R18,0,$M$4):'grunds. zuwendungsf. Ausgaben'!Y18),0))</f>
        <v/>
      </c>
      <c r="L65" s="59" t="str">
        <f>IF('grunds. zuwendungsf. Ausgaben'!D18="","",'grunds. zuwendungsf. Ausgaben'!D18)</f>
        <v/>
      </c>
      <c r="M65" s="60" t="str">
        <f>IF('grunds. zuwendungsf. Ausgaben'!E18="","",'grunds. zuwendungsf. Ausgaben'!E18)</f>
        <v/>
      </c>
      <c r="N65" s="60" t="str">
        <f>IF('grunds. zuwendungsf. Ausgaben'!F18="","",'grunds. zuwendungsf. Ausgaben'!F18)</f>
        <v/>
      </c>
      <c r="O65" s="61" t="str">
        <f>IF('grunds. zuwendungsf. Ausgaben'!G18="","",'grunds. zuwendungsf. Ausgaben'!G18)</f>
        <v/>
      </c>
      <c r="P65" s="249" t="str">
        <f>IF('grunds. zuwendungsf. Ausgaben'!H18="","",'grunds. zuwendungsf. Ausgaben'!H18)</f>
        <v/>
      </c>
      <c r="Q65" s="250" t="str">
        <f>IF('grunds. zuwendungsf. Ausgaben'!AA18="","",'grunds. zuwendungsf. Ausgaben'!AA18)</f>
        <v/>
      </c>
      <c r="R65" s="251" t="str">
        <f>IF('grunds. zuwendungsf. Ausgaben'!AB18="","",'grunds. zuwendungsf. Ausgaben'!AB18)</f>
        <v/>
      </c>
      <c r="S65" s="255" t="str">
        <f>IF('grunds. zuwendungsf. Ausgaben'!AC18="","",'grunds. zuwendungsf. Ausgaben'!AC18)</f>
        <v/>
      </c>
    </row>
    <row r="66" spans="1:19" ht="18" customHeight="1">
      <c r="A66" s="44">
        <v>11</v>
      </c>
      <c r="B66" s="57" t="str">
        <f>IF('grunds. zuwendungsf. Ausgaben'!B19="","",'grunds. zuwendungsf. Ausgaben'!B19)</f>
        <v/>
      </c>
      <c r="C66" s="56" t="str">
        <f>IF('grunds. zuwendungsf. Ausgaben'!C19="","",'grunds. zuwendungsf. Ausgaben'!C19)</f>
        <v/>
      </c>
      <c r="D66" s="66">
        <f ca="1">SUM(Zuw_Ausgaben_KuF[[#This Row],[E]:[K]])</f>
        <v>0</v>
      </c>
      <c r="E66" s="67" t="str">
        <f ca="1">IF(SUM('grunds. zuwendungsf. Ausgaben'!L19:OFFSET('grunds. zuwendungsf. Ausgaben'!L19,0,$M$4))=0,"",SUM('grunds. zuwendungsf. Ausgaben'!L19:OFFSET('grunds. zuwendungsf. Ausgaben'!L19,0,$M$4)))</f>
        <v/>
      </c>
      <c r="F66" s="68" t="str">
        <f ca="1">IF(IF($M$4&lt;13,OFFSET('grunds. zuwendungsf. Ausgaben'!M19,0,$M$4),)=0,"",IF($M$4&lt;13,OFFSET('grunds. zuwendungsf. Ausgaben'!M19,0,$M$4),))</f>
        <v/>
      </c>
      <c r="G66" s="67" t="str">
        <f ca="1">IF(IF($M$4&lt;12,OFFSET('grunds. zuwendungsf. Ausgaben'!N19,0,$M$4),)=0,"",IF($M$4&lt;12,OFFSET('grunds. zuwendungsf. Ausgaben'!N19,0,$M$4),))</f>
        <v/>
      </c>
      <c r="H66" s="67" t="str">
        <f ca="1">IF(IF($M$4&lt;11,OFFSET('grunds. zuwendungsf. Ausgaben'!O19,0,$M$4),)=0,"",IF($M$4&lt;11,OFFSET('grunds. zuwendungsf. Ausgaben'!O19,0,$M$4),))</f>
        <v/>
      </c>
      <c r="I66" s="67" t="str">
        <f ca="1">IF(IF($M$4&lt;10,OFFSET('grunds. zuwendungsf. Ausgaben'!P19,0,$M$4),)=0,"",IF($M$4&lt;10,OFFSET('grunds. zuwendungsf. Ausgaben'!P19,0,$M$4),))</f>
        <v/>
      </c>
      <c r="J66" s="67" t="str">
        <f ca="1">IF(IF($M$4&lt;9,OFFSET('grunds. zuwendungsf. Ausgaben'!Q19,0,$M$4),)=0,"",IF($M$4&lt;9,OFFSET('grunds. zuwendungsf. Ausgaben'!Q19,0,$M$4),))</f>
        <v/>
      </c>
      <c r="K66" s="69" t="str">
        <f ca="1">IF(IF($M$4&lt;8,SUM(OFFSET('grunds. zuwendungsf. Ausgaben'!R19,0,$M$4):'grunds. zuwendungsf. Ausgaben'!Y19),0)=0,"",IF($M$4&lt;8,SUM(OFFSET('grunds. zuwendungsf. Ausgaben'!R19,0,$M$4):'grunds. zuwendungsf. Ausgaben'!Y19),0))</f>
        <v/>
      </c>
      <c r="L66" s="59" t="str">
        <f>IF('grunds. zuwendungsf. Ausgaben'!D19="","",'grunds. zuwendungsf. Ausgaben'!D19)</f>
        <v/>
      </c>
      <c r="M66" s="60" t="str">
        <f>IF('grunds. zuwendungsf. Ausgaben'!E19="","",'grunds. zuwendungsf. Ausgaben'!E19)</f>
        <v/>
      </c>
      <c r="N66" s="60" t="str">
        <f>IF('grunds. zuwendungsf. Ausgaben'!F19="","",'grunds. zuwendungsf. Ausgaben'!F19)</f>
        <v/>
      </c>
      <c r="O66" s="61" t="str">
        <f>IF('grunds. zuwendungsf. Ausgaben'!G19="","",'grunds. zuwendungsf. Ausgaben'!G19)</f>
        <v/>
      </c>
      <c r="P66" s="249" t="str">
        <f>IF('grunds. zuwendungsf. Ausgaben'!H19="","",'grunds. zuwendungsf. Ausgaben'!H19)</f>
        <v/>
      </c>
      <c r="Q66" s="250" t="str">
        <f>IF('grunds. zuwendungsf. Ausgaben'!AA19="","",'grunds. zuwendungsf. Ausgaben'!AA19)</f>
        <v/>
      </c>
      <c r="R66" s="251" t="str">
        <f>IF('grunds. zuwendungsf. Ausgaben'!AB19="","",'grunds. zuwendungsf. Ausgaben'!AB19)</f>
        <v/>
      </c>
      <c r="S66" s="255" t="str">
        <f>IF('grunds. zuwendungsf. Ausgaben'!AC19="","",'grunds. zuwendungsf. Ausgaben'!AC19)</f>
        <v/>
      </c>
    </row>
    <row r="67" spans="1:19" ht="18" customHeight="1">
      <c r="A67" s="44">
        <v>12</v>
      </c>
      <c r="B67" s="58" t="str">
        <f>IF('grunds. zuwendungsf. Ausgaben'!B20="","",'grunds. zuwendungsf. Ausgaben'!B20)</f>
        <v/>
      </c>
      <c r="C67" s="56" t="str">
        <f>IF('grunds. zuwendungsf. Ausgaben'!C20="","",'grunds. zuwendungsf. Ausgaben'!C20)</f>
        <v/>
      </c>
      <c r="D67" s="66">
        <f ca="1">SUM(Zuw_Ausgaben_KuF[[#This Row],[E]:[K]])</f>
        <v>0</v>
      </c>
      <c r="E67" s="67" t="str">
        <f ca="1">IF(SUM('grunds. zuwendungsf. Ausgaben'!L20:OFFSET('grunds. zuwendungsf. Ausgaben'!L20,0,$M$4))=0,"",SUM('grunds. zuwendungsf. Ausgaben'!L20:OFFSET('grunds. zuwendungsf. Ausgaben'!L20,0,$M$4)))</f>
        <v/>
      </c>
      <c r="F67" s="68" t="str">
        <f ca="1">IF(IF($M$4&lt;13,OFFSET('grunds. zuwendungsf. Ausgaben'!M20,0,$M$4),)=0,"",IF($M$4&lt;13,OFFSET('grunds. zuwendungsf. Ausgaben'!M20,0,$M$4),))</f>
        <v/>
      </c>
      <c r="G67" s="67" t="str">
        <f ca="1">IF(IF($M$4&lt;12,OFFSET('grunds. zuwendungsf. Ausgaben'!N20,0,$M$4),)=0,"",IF($M$4&lt;12,OFFSET('grunds. zuwendungsf. Ausgaben'!N20,0,$M$4),))</f>
        <v/>
      </c>
      <c r="H67" s="67" t="str">
        <f ca="1">IF(IF($M$4&lt;11,OFFSET('grunds. zuwendungsf. Ausgaben'!O20,0,$M$4),)=0,"",IF($M$4&lt;11,OFFSET('grunds. zuwendungsf. Ausgaben'!O20,0,$M$4),))</f>
        <v/>
      </c>
      <c r="I67" s="67" t="str">
        <f ca="1">IF(IF($M$4&lt;10,OFFSET('grunds. zuwendungsf. Ausgaben'!P20,0,$M$4),)=0,"",IF($M$4&lt;10,OFFSET('grunds. zuwendungsf. Ausgaben'!P20,0,$M$4),))</f>
        <v/>
      </c>
      <c r="J67" s="67" t="str">
        <f ca="1">IF(IF($M$4&lt;9,OFFSET('grunds. zuwendungsf. Ausgaben'!Q20,0,$M$4),)=0,"",IF($M$4&lt;9,OFFSET('grunds. zuwendungsf. Ausgaben'!Q20,0,$M$4),))</f>
        <v/>
      </c>
      <c r="K67" s="69" t="str">
        <f ca="1">IF(IF($M$4&lt;8,SUM(OFFSET('grunds. zuwendungsf. Ausgaben'!R20,0,$M$4):'grunds. zuwendungsf. Ausgaben'!Y20),0)=0,"",IF($M$4&lt;8,SUM(OFFSET('grunds. zuwendungsf. Ausgaben'!R20,0,$M$4):'grunds. zuwendungsf. Ausgaben'!Y20),0))</f>
        <v/>
      </c>
      <c r="L67" s="59" t="str">
        <f>IF('grunds. zuwendungsf. Ausgaben'!D20="","",'grunds. zuwendungsf. Ausgaben'!D20)</f>
        <v/>
      </c>
      <c r="M67" s="60" t="str">
        <f>IF('grunds. zuwendungsf. Ausgaben'!E20="","",'grunds. zuwendungsf. Ausgaben'!E20)</f>
        <v/>
      </c>
      <c r="N67" s="60" t="str">
        <f>IF('grunds. zuwendungsf. Ausgaben'!F20="","",'grunds. zuwendungsf. Ausgaben'!F20)</f>
        <v/>
      </c>
      <c r="O67" s="61" t="str">
        <f>IF('grunds. zuwendungsf. Ausgaben'!G20="","",'grunds. zuwendungsf. Ausgaben'!G20)</f>
        <v/>
      </c>
      <c r="P67" s="249" t="str">
        <f>IF('grunds. zuwendungsf. Ausgaben'!H20="","",'grunds. zuwendungsf. Ausgaben'!H20)</f>
        <v/>
      </c>
      <c r="Q67" s="250" t="str">
        <f>IF('grunds. zuwendungsf. Ausgaben'!AA20="","",'grunds. zuwendungsf. Ausgaben'!AA20)</f>
        <v/>
      </c>
      <c r="R67" s="251" t="str">
        <f>IF('grunds. zuwendungsf. Ausgaben'!AB20="","",'grunds. zuwendungsf. Ausgaben'!AB20)</f>
        <v/>
      </c>
      <c r="S67" s="255" t="str">
        <f>IF('grunds. zuwendungsf. Ausgaben'!AC20="","",'grunds. zuwendungsf. Ausgaben'!AC20)</f>
        <v/>
      </c>
    </row>
    <row r="68" spans="1:19" ht="18" customHeight="1">
      <c r="A68" s="44">
        <v>13</v>
      </c>
      <c r="B68" s="57" t="str">
        <f>IF('grunds. zuwendungsf. Ausgaben'!B21="","",'grunds. zuwendungsf. Ausgaben'!B21)</f>
        <v/>
      </c>
      <c r="C68" s="56" t="str">
        <f>IF('grunds. zuwendungsf. Ausgaben'!C21="","",'grunds. zuwendungsf. Ausgaben'!C21)</f>
        <v/>
      </c>
      <c r="D68" s="66">
        <f ca="1">SUM(Zuw_Ausgaben_KuF[[#This Row],[E]:[K]])</f>
        <v>0</v>
      </c>
      <c r="E68" s="67" t="str">
        <f ca="1">IF(SUM('grunds. zuwendungsf. Ausgaben'!L21:OFFSET('grunds. zuwendungsf. Ausgaben'!L21,0,$M$4))=0,"",SUM('grunds. zuwendungsf. Ausgaben'!L21:OFFSET('grunds. zuwendungsf. Ausgaben'!L21,0,$M$4)))</f>
        <v/>
      </c>
      <c r="F68" s="68" t="str">
        <f ca="1">IF(IF($M$4&lt;13,OFFSET('grunds. zuwendungsf. Ausgaben'!M21,0,$M$4),)=0,"",IF($M$4&lt;13,OFFSET('grunds. zuwendungsf. Ausgaben'!M21,0,$M$4),))</f>
        <v/>
      </c>
      <c r="G68" s="67" t="str">
        <f ca="1">IF(IF($M$4&lt;12,OFFSET('grunds. zuwendungsf. Ausgaben'!N21,0,$M$4),)=0,"",IF($M$4&lt;12,OFFSET('grunds. zuwendungsf. Ausgaben'!N21,0,$M$4),))</f>
        <v/>
      </c>
      <c r="H68" s="67" t="str">
        <f ca="1">IF(IF($M$4&lt;11,OFFSET('grunds. zuwendungsf. Ausgaben'!O21,0,$M$4),)=0,"",IF($M$4&lt;11,OFFSET('grunds. zuwendungsf. Ausgaben'!O21,0,$M$4),))</f>
        <v/>
      </c>
      <c r="I68" s="67" t="str">
        <f ca="1">IF(IF($M$4&lt;10,OFFSET('grunds. zuwendungsf. Ausgaben'!P21,0,$M$4),)=0,"",IF($M$4&lt;10,OFFSET('grunds. zuwendungsf. Ausgaben'!P21,0,$M$4),))</f>
        <v/>
      </c>
      <c r="J68" s="67" t="str">
        <f ca="1">IF(IF($M$4&lt;9,OFFSET('grunds. zuwendungsf. Ausgaben'!Q21,0,$M$4),)=0,"",IF($M$4&lt;9,OFFSET('grunds. zuwendungsf. Ausgaben'!Q21,0,$M$4),))</f>
        <v/>
      </c>
      <c r="K68" s="69" t="str">
        <f ca="1">IF(IF($M$4&lt;8,SUM(OFFSET('grunds. zuwendungsf. Ausgaben'!R21,0,$M$4):'grunds. zuwendungsf. Ausgaben'!Y21),0)=0,"",IF($M$4&lt;8,SUM(OFFSET('grunds. zuwendungsf. Ausgaben'!R21,0,$M$4):'grunds. zuwendungsf. Ausgaben'!Y21),0))</f>
        <v/>
      </c>
      <c r="L68" s="59" t="str">
        <f>IF('grunds. zuwendungsf. Ausgaben'!D21="","",'grunds. zuwendungsf. Ausgaben'!D21)</f>
        <v/>
      </c>
      <c r="M68" s="60" t="str">
        <f>IF('grunds. zuwendungsf. Ausgaben'!E21="","",'grunds. zuwendungsf. Ausgaben'!E21)</f>
        <v/>
      </c>
      <c r="N68" s="60" t="str">
        <f>IF('grunds. zuwendungsf. Ausgaben'!F21="","",'grunds. zuwendungsf. Ausgaben'!F21)</f>
        <v/>
      </c>
      <c r="O68" s="61" t="str">
        <f>IF('grunds. zuwendungsf. Ausgaben'!G21="","",'grunds. zuwendungsf. Ausgaben'!G21)</f>
        <v/>
      </c>
      <c r="P68" s="249" t="str">
        <f>IF('grunds. zuwendungsf. Ausgaben'!H21="","",'grunds. zuwendungsf. Ausgaben'!H21)</f>
        <v/>
      </c>
      <c r="Q68" s="250" t="str">
        <f>IF('grunds. zuwendungsf. Ausgaben'!AA21="","",'grunds. zuwendungsf. Ausgaben'!AA21)</f>
        <v/>
      </c>
      <c r="R68" s="251" t="str">
        <f>IF('grunds. zuwendungsf. Ausgaben'!AB21="","",'grunds. zuwendungsf. Ausgaben'!AB21)</f>
        <v/>
      </c>
      <c r="S68" s="255" t="str">
        <f>IF('grunds. zuwendungsf. Ausgaben'!AC21="","",'grunds. zuwendungsf. Ausgaben'!AC21)</f>
        <v/>
      </c>
    </row>
    <row r="69" spans="1:19" ht="18" customHeight="1">
      <c r="A69" s="45">
        <v>14</v>
      </c>
      <c r="B69" s="58" t="str">
        <f>IF('grunds. zuwendungsf. Ausgaben'!B22="","",'grunds. zuwendungsf. Ausgaben'!B22)</f>
        <v/>
      </c>
      <c r="C69" s="56" t="str">
        <f>IF('grunds. zuwendungsf. Ausgaben'!C22="","",'grunds. zuwendungsf. Ausgaben'!C22)</f>
        <v/>
      </c>
      <c r="D69" s="66">
        <f ca="1">SUM(Zuw_Ausgaben_KuF[[#This Row],[E]:[K]])</f>
        <v>0</v>
      </c>
      <c r="E69" s="67" t="str">
        <f ca="1">IF(SUM('grunds. zuwendungsf. Ausgaben'!L22:OFFSET('grunds. zuwendungsf. Ausgaben'!L22,0,$M$4))=0,"",SUM('grunds. zuwendungsf. Ausgaben'!L22:OFFSET('grunds. zuwendungsf. Ausgaben'!L22,0,$M$4)))</f>
        <v/>
      </c>
      <c r="F69" s="68" t="str">
        <f ca="1">IF(IF($M$4&lt;13,OFFSET('grunds. zuwendungsf. Ausgaben'!M22,0,$M$4),)=0,"",IF($M$4&lt;13,OFFSET('grunds. zuwendungsf. Ausgaben'!M22,0,$M$4),))</f>
        <v/>
      </c>
      <c r="G69" s="67" t="str">
        <f ca="1">IF(IF($M$4&lt;12,OFFSET('grunds. zuwendungsf. Ausgaben'!N22,0,$M$4),)=0,"",IF($M$4&lt;12,OFFSET('grunds. zuwendungsf. Ausgaben'!N22,0,$M$4),))</f>
        <v/>
      </c>
      <c r="H69" s="67" t="str">
        <f ca="1">IF(IF($M$4&lt;11,OFFSET('grunds. zuwendungsf. Ausgaben'!O22,0,$M$4),)=0,"",IF($M$4&lt;11,OFFSET('grunds. zuwendungsf. Ausgaben'!O22,0,$M$4),))</f>
        <v/>
      </c>
      <c r="I69" s="67" t="str">
        <f ca="1">IF(IF($M$4&lt;10,OFFSET('grunds. zuwendungsf. Ausgaben'!P22,0,$M$4),)=0,"",IF($M$4&lt;10,OFFSET('grunds. zuwendungsf. Ausgaben'!P22,0,$M$4),))</f>
        <v/>
      </c>
      <c r="J69" s="67" t="str">
        <f ca="1">IF(IF($M$4&lt;9,OFFSET('grunds. zuwendungsf. Ausgaben'!Q22,0,$M$4),)=0,"",IF($M$4&lt;9,OFFSET('grunds. zuwendungsf. Ausgaben'!Q22,0,$M$4),))</f>
        <v/>
      </c>
      <c r="K69" s="69" t="str">
        <f ca="1">IF(IF($M$4&lt;8,SUM(OFFSET('grunds. zuwendungsf. Ausgaben'!R22,0,$M$4):'grunds. zuwendungsf. Ausgaben'!Y22),0)=0,"",IF($M$4&lt;8,SUM(OFFSET('grunds. zuwendungsf. Ausgaben'!R22,0,$M$4):'grunds. zuwendungsf. Ausgaben'!Y22),0))</f>
        <v/>
      </c>
      <c r="L69" s="59" t="str">
        <f>IF('grunds. zuwendungsf. Ausgaben'!D22="","",'grunds. zuwendungsf. Ausgaben'!D22)</f>
        <v/>
      </c>
      <c r="M69" s="60" t="str">
        <f>IF('grunds. zuwendungsf. Ausgaben'!E22="","",'grunds. zuwendungsf. Ausgaben'!E22)</f>
        <v/>
      </c>
      <c r="N69" s="60" t="str">
        <f>IF('grunds. zuwendungsf. Ausgaben'!F22="","",'grunds. zuwendungsf. Ausgaben'!F22)</f>
        <v/>
      </c>
      <c r="O69" s="61" t="str">
        <f>IF('grunds. zuwendungsf. Ausgaben'!G22="","",'grunds. zuwendungsf. Ausgaben'!G22)</f>
        <v/>
      </c>
      <c r="P69" s="249" t="str">
        <f>IF('grunds. zuwendungsf. Ausgaben'!H22="","",'grunds. zuwendungsf. Ausgaben'!H22)</f>
        <v/>
      </c>
      <c r="Q69" s="250" t="str">
        <f>IF('grunds. zuwendungsf. Ausgaben'!AA22="","",'grunds. zuwendungsf. Ausgaben'!AA22)</f>
        <v/>
      </c>
      <c r="R69" s="251" t="str">
        <f>IF('grunds. zuwendungsf. Ausgaben'!AB22="","",'grunds. zuwendungsf. Ausgaben'!AB22)</f>
        <v/>
      </c>
      <c r="S69" s="255" t="str">
        <f>IF('grunds. zuwendungsf. Ausgaben'!AC22="","",'grunds. zuwendungsf. Ausgaben'!AC22)</f>
        <v/>
      </c>
    </row>
    <row r="70" spans="1:19" ht="18" customHeight="1">
      <c r="A70" s="44">
        <v>15</v>
      </c>
      <c r="B70" s="58" t="str">
        <f>IF('grunds. zuwendungsf. Ausgaben'!B23="","",'grunds. zuwendungsf. Ausgaben'!B23)</f>
        <v/>
      </c>
      <c r="C70" s="56" t="str">
        <f>IF('grunds. zuwendungsf. Ausgaben'!C23="","",'grunds. zuwendungsf. Ausgaben'!C23)</f>
        <v/>
      </c>
      <c r="D70" s="66">
        <f ca="1">SUM(Zuw_Ausgaben_KuF[[#This Row],[E]:[K]])</f>
        <v>0</v>
      </c>
      <c r="E70" s="67" t="str">
        <f ca="1">IF(SUM('grunds. zuwendungsf. Ausgaben'!L23:OFFSET('grunds. zuwendungsf. Ausgaben'!L23,0,$M$4))=0,"",SUM('grunds. zuwendungsf. Ausgaben'!L23:OFFSET('grunds. zuwendungsf. Ausgaben'!L23,0,$M$4)))</f>
        <v/>
      </c>
      <c r="F70" s="68" t="str">
        <f ca="1">IF(IF($M$4&lt;13,OFFSET('grunds. zuwendungsf. Ausgaben'!M23,0,$M$4),)=0,"",IF($M$4&lt;13,OFFSET('grunds. zuwendungsf. Ausgaben'!M23,0,$M$4),))</f>
        <v/>
      </c>
      <c r="G70" s="67" t="str">
        <f ca="1">IF(IF($M$4&lt;12,OFFSET('grunds. zuwendungsf. Ausgaben'!N23,0,$M$4),)=0,"",IF($M$4&lt;12,OFFSET('grunds. zuwendungsf. Ausgaben'!N23,0,$M$4),))</f>
        <v/>
      </c>
      <c r="H70" s="67" t="str">
        <f ca="1">IF(IF($M$4&lt;11,OFFSET('grunds. zuwendungsf. Ausgaben'!O23,0,$M$4),)=0,"",IF($M$4&lt;11,OFFSET('grunds. zuwendungsf. Ausgaben'!O23,0,$M$4),))</f>
        <v/>
      </c>
      <c r="I70" s="67" t="str">
        <f ca="1">IF(IF($M$4&lt;10,OFFSET('grunds. zuwendungsf. Ausgaben'!P23,0,$M$4),)=0,"",IF($M$4&lt;10,OFFSET('grunds. zuwendungsf. Ausgaben'!P23,0,$M$4),))</f>
        <v/>
      </c>
      <c r="J70" s="67" t="str">
        <f ca="1">IF(IF($M$4&lt;9,OFFSET('grunds. zuwendungsf. Ausgaben'!Q23,0,$M$4),)=0,"",IF($M$4&lt;9,OFFSET('grunds. zuwendungsf. Ausgaben'!Q23,0,$M$4),))</f>
        <v/>
      </c>
      <c r="K70" s="69" t="str">
        <f ca="1">IF(IF($M$4&lt;8,SUM(OFFSET('grunds. zuwendungsf. Ausgaben'!R23,0,$M$4):'grunds. zuwendungsf. Ausgaben'!Y23),0)=0,"",IF($M$4&lt;8,SUM(OFFSET('grunds. zuwendungsf. Ausgaben'!R23,0,$M$4):'grunds. zuwendungsf. Ausgaben'!Y23),0))</f>
        <v/>
      </c>
      <c r="L70" s="62" t="str">
        <f>IF('grunds. zuwendungsf. Ausgaben'!D23="","",'grunds. zuwendungsf. Ausgaben'!D23)</f>
        <v/>
      </c>
      <c r="M70" s="63" t="str">
        <f>IF('grunds. zuwendungsf. Ausgaben'!E23="","",'grunds. zuwendungsf. Ausgaben'!E23)</f>
        <v/>
      </c>
      <c r="N70" s="63" t="str">
        <f>IF('grunds. zuwendungsf. Ausgaben'!F23="","",'grunds. zuwendungsf. Ausgaben'!F23)</f>
        <v/>
      </c>
      <c r="O70" s="64" t="str">
        <f>IF('grunds. zuwendungsf. Ausgaben'!G23="","",'grunds. zuwendungsf. Ausgaben'!G23)</f>
        <v/>
      </c>
      <c r="P70" s="249" t="str">
        <f>IF('grunds. zuwendungsf. Ausgaben'!H23="","",'grunds. zuwendungsf. Ausgaben'!H23)</f>
        <v/>
      </c>
      <c r="Q70" s="250" t="str">
        <f>IF('grunds. zuwendungsf. Ausgaben'!AA23="","",'grunds. zuwendungsf. Ausgaben'!AA23)</f>
        <v/>
      </c>
      <c r="R70" s="251" t="str">
        <f>IF('grunds. zuwendungsf. Ausgaben'!AB23="","",'grunds. zuwendungsf. Ausgaben'!AB23)</f>
        <v/>
      </c>
      <c r="S70" s="255" t="str">
        <f>IF('grunds. zuwendungsf. Ausgaben'!AC23="","",'grunds. zuwendungsf. Ausgaben'!AC23)</f>
        <v/>
      </c>
    </row>
    <row r="71" spans="1:19" ht="18" customHeight="1">
      <c r="A71" s="44">
        <v>16</v>
      </c>
      <c r="B71" s="58" t="str">
        <f>IF('grunds. zuwendungsf. Ausgaben'!B24="","",'grunds. zuwendungsf. Ausgaben'!B24)</f>
        <v/>
      </c>
      <c r="C71" s="56" t="str">
        <f>IF('grunds. zuwendungsf. Ausgaben'!C24="","",'grunds. zuwendungsf. Ausgaben'!C24)</f>
        <v/>
      </c>
      <c r="D71" s="66">
        <f ca="1">SUM(Zuw_Ausgaben_KuF[[#This Row],[E]:[K]])</f>
        <v>0</v>
      </c>
      <c r="E71" s="67" t="str">
        <f ca="1">IF(SUM('grunds. zuwendungsf. Ausgaben'!L24:OFFSET('grunds. zuwendungsf. Ausgaben'!L24,0,$M$4))=0,"",SUM('grunds. zuwendungsf. Ausgaben'!L24:OFFSET('grunds. zuwendungsf. Ausgaben'!L24,0,$M$4)))</f>
        <v/>
      </c>
      <c r="F71" s="68" t="str">
        <f ca="1">IF(IF($M$4&lt;13,OFFSET('grunds. zuwendungsf. Ausgaben'!M24,0,$M$4),)=0,"",IF($M$4&lt;13,OFFSET('grunds. zuwendungsf. Ausgaben'!M24,0,$M$4),))</f>
        <v/>
      </c>
      <c r="G71" s="67" t="str">
        <f ca="1">IF(IF($M$4&lt;12,OFFSET('grunds. zuwendungsf. Ausgaben'!N24,0,$M$4),)=0,"",IF($M$4&lt;12,OFFSET('grunds. zuwendungsf. Ausgaben'!N24,0,$M$4),))</f>
        <v/>
      </c>
      <c r="H71" s="67" t="str">
        <f ca="1">IF(IF($M$4&lt;11,OFFSET('grunds. zuwendungsf. Ausgaben'!O24,0,$M$4),)=0,"",IF($M$4&lt;11,OFFSET('grunds. zuwendungsf. Ausgaben'!O24,0,$M$4),))</f>
        <v/>
      </c>
      <c r="I71" s="67" t="str">
        <f ca="1">IF(IF($M$4&lt;10,OFFSET('grunds. zuwendungsf. Ausgaben'!P24,0,$M$4),)=0,"",IF($M$4&lt;10,OFFSET('grunds. zuwendungsf. Ausgaben'!P24,0,$M$4),))</f>
        <v/>
      </c>
      <c r="J71" s="67" t="str">
        <f ca="1">IF(IF($M$4&lt;9,OFFSET('grunds. zuwendungsf. Ausgaben'!Q24,0,$M$4),)=0,"",IF($M$4&lt;9,OFFSET('grunds. zuwendungsf. Ausgaben'!Q24,0,$M$4),))</f>
        <v/>
      </c>
      <c r="K71" s="69" t="str">
        <f ca="1">IF(IF($M$4&lt;8,SUM(OFFSET('grunds. zuwendungsf. Ausgaben'!R24,0,$M$4):'grunds. zuwendungsf. Ausgaben'!Y24),0)=0,"",IF($M$4&lt;8,SUM(OFFSET('grunds. zuwendungsf. Ausgaben'!R24,0,$M$4):'grunds. zuwendungsf. Ausgaben'!Y24),0))</f>
        <v/>
      </c>
      <c r="L71" s="62" t="str">
        <f>IF('grunds. zuwendungsf. Ausgaben'!D24="","",'grunds. zuwendungsf. Ausgaben'!D24)</f>
        <v/>
      </c>
      <c r="M71" s="63" t="str">
        <f>IF('grunds. zuwendungsf. Ausgaben'!E24="","",'grunds. zuwendungsf. Ausgaben'!E24)</f>
        <v/>
      </c>
      <c r="N71" s="63" t="str">
        <f>IF('grunds. zuwendungsf. Ausgaben'!F24="","",'grunds. zuwendungsf. Ausgaben'!F24)</f>
        <v/>
      </c>
      <c r="O71" s="64" t="str">
        <f>IF('grunds. zuwendungsf. Ausgaben'!G24="","",'grunds. zuwendungsf. Ausgaben'!G24)</f>
        <v/>
      </c>
      <c r="P71" s="249" t="str">
        <f>IF('grunds. zuwendungsf. Ausgaben'!H24="","",'grunds. zuwendungsf. Ausgaben'!H24)</f>
        <v/>
      </c>
      <c r="Q71" s="250" t="str">
        <f>IF('grunds. zuwendungsf. Ausgaben'!AA24="","",'grunds. zuwendungsf. Ausgaben'!AA24)</f>
        <v/>
      </c>
      <c r="R71" s="251" t="str">
        <f>IF('grunds. zuwendungsf. Ausgaben'!AB24="","",'grunds. zuwendungsf. Ausgaben'!AB24)</f>
        <v/>
      </c>
      <c r="S71" s="255" t="str">
        <f>IF('grunds. zuwendungsf. Ausgaben'!AC24="","",'grunds. zuwendungsf. Ausgaben'!AC24)</f>
        <v/>
      </c>
    </row>
    <row r="72" spans="1:19" ht="18" customHeight="1">
      <c r="A72" s="44">
        <v>17</v>
      </c>
      <c r="B72" s="58" t="str">
        <f>IF('grunds. zuwendungsf. Ausgaben'!B25="","",'grunds. zuwendungsf. Ausgaben'!B25)</f>
        <v/>
      </c>
      <c r="C72" s="56" t="str">
        <f>IF('grunds. zuwendungsf. Ausgaben'!C25="","",'grunds. zuwendungsf. Ausgaben'!C25)</f>
        <v/>
      </c>
      <c r="D72" s="66">
        <f ca="1">SUM(Zuw_Ausgaben_KuF[[#This Row],[E]:[K]])</f>
        <v>0</v>
      </c>
      <c r="E72" s="67" t="str">
        <f ca="1">IF(SUM('grunds. zuwendungsf. Ausgaben'!L25:OFFSET('grunds. zuwendungsf. Ausgaben'!L25,0,$M$4))=0,"",SUM('grunds. zuwendungsf. Ausgaben'!L25:OFFSET('grunds. zuwendungsf. Ausgaben'!L25,0,$M$4)))</f>
        <v/>
      </c>
      <c r="F72" s="68" t="str">
        <f ca="1">IF(IF($M$4&lt;13,OFFSET('grunds. zuwendungsf. Ausgaben'!M25,0,$M$4),)=0,"",IF($M$4&lt;13,OFFSET('grunds. zuwendungsf. Ausgaben'!M25,0,$M$4),))</f>
        <v/>
      </c>
      <c r="G72" s="67" t="str">
        <f ca="1">IF(IF($M$4&lt;12,OFFSET('grunds. zuwendungsf. Ausgaben'!N25,0,$M$4),)=0,"",IF($M$4&lt;12,OFFSET('grunds. zuwendungsf. Ausgaben'!N25,0,$M$4),))</f>
        <v/>
      </c>
      <c r="H72" s="67" t="str">
        <f ca="1">IF(IF($M$4&lt;11,OFFSET('grunds. zuwendungsf. Ausgaben'!O25,0,$M$4),)=0,"",IF($M$4&lt;11,OFFSET('grunds. zuwendungsf. Ausgaben'!O25,0,$M$4),))</f>
        <v/>
      </c>
      <c r="I72" s="67" t="str">
        <f ca="1">IF(IF($M$4&lt;10,OFFSET('grunds. zuwendungsf. Ausgaben'!P25,0,$M$4),)=0,"",IF($M$4&lt;10,OFFSET('grunds. zuwendungsf. Ausgaben'!P25,0,$M$4),))</f>
        <v/>
      </c>
      <c r="J72" s="67" t="str">
        <f ca="1">IF(IF($M$4&lt;9,OFFSET('grunds. zuwendungsf. Ausgaben'!Q25,0,$M$4),)=0,"",IF($M$4&lt;9,OFFSET('grunds. zuwendungsf. Ausgaben'!Q25,0,$M$4),))</f>
        <v/>
      </c>
      <c r="K72" s="69" t="str">
        <f ca="1">IF(IF($M$4&lt;8,SUM(OFFSET('grunds. zuwendungsf. Ausgaben'!R25,0,$M$4):'grunds. zuwendungsf. Ausgaben'!Y25),0)=0,"",IF($M$4&lt;8,SUM(OFFSET('grunds. zuwendungsf. Ausgaben'!R25,0,$M$4):'grunds. zuwendungsf. Ausgaben'!Y25),0))</f>
        <v/>
      </c>
      <c r="L72" s="62" t="str">
        <f>IF('grunds. zuwendungsf. Ausgaben'!D25="","",'grunds. zuwendungsf. Ausgaben'!D25)</f>
        <v/>
      </c>
      <c r="M72" s="63" t="str">
        <f>IF('grunds. zuwendungsf. Ausgaben'!E25="","",'grunds. zuwendungsf. Ausgaben'!E25)</f>
        <v/>
      </c>
      <c r="N72" s="63" t="str">
        <f>IF('grunds. zuwendungsf. Ausgaben'!F25="","",'grunds. zuwendungsf. Ausgaben'!F25)</f>
        <v/>
      </c>
      <c r="O72" s="64" t="str">
        <f>IF('grunds. zuwendungsf. Ausgaben'!G25="","",'grunds. zuwendungsf. Ausgaben'!G25)</f>
        <v/>
      </c>
      <c r="P72" s="249" t="str">
        <f>IF('grunds. zuwendungsf. Ausgaben'!H25="","",'grunds. zuwendungsf. Ausgaben'!H25)</f>
        <v/>
      </c>
      <c r="Q72" s="250" t="str">
        <f>IF('grunds. zuwendungsf. Ausgaben'!AA25="","",'grunds. zuwendungsf. Ausgaben'!AA25)</f>
        <v/>
      </c>
      <c r="R72" s="251" t="str">
        <f>IF('grunds. zuwendungsf. Ausgaben'!AB25="","",'grunds. zuwendungsf. Ausgaben'!AB25)</f>
        <v/>
      </c>
      <c r="S72" s="255" t="str">
        <f>IF('grunds. zuwendungsf. Ausgaben'!AC25="","",'grunds. zuwendungsf. Ausgaben'!AC25)</f>
        <v/>
      </c>
    </row>
    <row r="73" spans="1:19" ht="18" customHeight="1">
      <c r="A73" s="44">
        <v>18</v>
      </c>
      <c r="B73" s="58" t="str">
        <f>IF('grunds. zuwendungsf. Ausgaben'!B26="","",'grunds. zuwendungsf. Ausgaben'!B26)</f>
        <v/>
      </c>
      <c r="C73" s="56" t="str">
        <f>IF('grunds. zuwendungsf. Ausgaben'!C26="","",'grunds. zuwendungsf. Ausgaben'!C26)</f>
        <v/>
      </c>
      <c r="D73" s="66">
        <f ca="1">SUM(Zuw_Ausgaben_KuF[[#This Row],[E]:[K]])</f>
        <v>0</v>
      </c>
      <c r="E73" s="67" t="str">
        <f ca="1">IF(SUM('grunds. zuwendungsf. Ausgaben'!L26:OFFSET('grunds. zuwendungsf. Ausgaben'!L26,0,$M$4))=0,"",SUM('grunds. zuwendungsf. Ausgaben'!L26:OFFSET('grunds. zuwendungsf. Ausgaben'!L26,0,$M$4)))</f>
        <v/>
      </c>
      <c r="F73" s="68" t="str">
        <f ca="1">IF(IF($M$4&lt;13,OFFSET('grunds. zuwendungsf. Ausgaben'!M26,0,$M$4),)=0,"",IF($M$4&lt;13,OFFSET('grunds. zuwendungsf. Ausgaben'!M26,0,$M$4),))</f>
        <v/>
      </c>
      <c r="G73" s="67" t="str">
        <f ca="1">IF(IF($M$4&lt;12,OFFSET('grunds. zuwendungsf. Ausgaben'!N26,0,$M$4),)=0,"",IF($M$4&lt;12,OFFSET('grunds. zuwendungsf. Ausgaben'!N26,0,$M$4),))</f>
        <v/>
      </c>
      <c r="H73" s="67" t="str">
        <f ca="1">IF(IF($M$4&lt;11,OFFSET('grunds. zuwendungsf. Ausgaben'!O26,0,$M$4),)=0,"",IF($M$4&lt;11,OFFSET('grunds. zuwendungsf. Ausgaben'!O26,0,$M$4),))</f>
        <v/>
      </c>
      <c r="I73" s="67" t="str">
        <f ca="1">IF(IF($M$4&lt;10,OFFSET('grunds. zuwendungsf. Ausgaben'!P26,0,$M$4),)=0,"",IF($M$4&lt;10,OFFSET('grunds. zuwendungsf. Ausgaben'!P26,0,$M$4),))</f>
        <v/>
      </c>
      <c r="J73" s="67" t="str">
        <f ca="1">IF(IF($M$4&lt;9,OFFSET('grunds. zuwendungsf. Ausgaben'!Q26,0,$M$4),)=0,"",IF($M$4&lt;9,OFFSET('grunds. zuwendungsf. Ausgaben'!Q26,0,$M$4),))</f>
        <v/>
      </c>
      <c r="K73" s="69" t="str">
        <f ca="1">IF(IF($M$4&lt;8,SUM(OFFSET('grunds. zuwendungsf. Ausgaben'!R26,0,$M$4):'grunds. zuwendungsf. Ausgaben'!Y26),0)=0,"",IF($M$4&lt;8,SUM(OFFSET('grunds. zuwendungsf. Ausgaben'!R26,0,$M$4):'grunds. zuwendungsf. Ausgaben'!Y26),0))</f>
        <v/>
      </c>
      <c r="L73" s="62" t="str">
        <f>IF('grunds. zuwendungsf. Ausgaben'!D26="","",'grunds. zuwendungsf. Ausgaben'!D26)</f>
        <v/>
      </c>
      <c r="M73" s="63" t="str">
        <f>IF('grunds. zuwendungsf. Ausgaben'!E26="","",'grunds. zuwendungsf. Ausgaben'!E26)</f>
        <v/>
      </c>
      <c r="N73" s="63" t="str">
        <f>IF('grunds. zuwendungsf. Ausgaben'!F26="","",'grunds. zuwendungsf. Ausgaben'!F26)</f>
        <v/>
      </c>
      <c r="O73" s="64" t="str">
        <f>IF('grunds. zuwendungsf. Ausgaben'!G26="","",'grunds. zuwendungsf. Ausgaben'!G26)</f>
        <v/>
      </c>
      <c r="P73" s="249" t="str">
        <f>IF('grunds. zuwendungsf. Ausgaben'!H26="","",'grunds. zuwendungsf. Ausgaben'!H26)</f>
        <v/>
      </c>
      <c r="Q73" s="250" t="str">
        <f>IF('grunds. zuwendungsf. Ausgaben'!AA26="","",'grunds. zuwendungsf. Ausgaben'!AA26)</f>
        <v/>
      </c>
      <c r="R73" s="251" t="str">
        <f>IF('grunds. zuwendungsf. Ausgaben'!AB26="","",'grunds. zuwendungsf. Ausgaben'!AB26)</f>
        <v/>
      </c>
      <c r="S73" s="255" t="str">
        <f>IF('grunds. zuwendungsf. Ausgaben'!AC26="","",'grunds. zuwendungsf. Ausgaben'!AC26)</f>
        <v/>
      </c>
    </row>
    <row r="74" spans="1:19" ht="18" customHeight="1">
      <c r="A74" s="44">
        <v>19</v>
      </c>
      <c r="B74" s="58" t="str">
        <f>IF('grunds. zuwendungsf. Ausgaben'!B27="","",'grunds. zuwendungsf. Ausgaben'!B27)</f>
        <v/>
      </c>
      <c r="C74" s="56" t="str">
        <f>IF('grunds. zuwendungsf. Ausgaben'!C27="","",'grunds. zuwendungsf. Ausgaben'!C27)</f>
        <v/>
      </c>
      <c r="D74" s="66">
        <f ca="1">SUM(Zuw_Ausgaben_KuF[[#This Row],[E]:[K]])</f>
        <v>0</v>
      </c>
      <c r="E74" s="67" t="str">
        <f ca="1">IF(SUM('grunds. zuwendungsf. Ausgaben'!L27:OFFSET('grunds. zuwendungsf. Ausgaben'!L27,0,$M$4))=0,"",SUM('grunds. zuwendungsf. Ausgaben'!L27:OFFSET('grunds. zuwendungsf. Ausgaben'!L27,0,$M$4)))</f>
        <v/>
      </c>
      <c r="F74" s="68" t="str">
        <f ca="1">IF(IF($M$4&lt;13,OFFSET('grunds. zuwendungsf. Ausgaben'!M27,0,$M$4),)=0,"",IF($M$4&lt;13,OFFSET('grunds. zuwendungsf. Ausgaben'!M27,0,$M$4),))</f>
        <v/>
      </c>
      <c r="G74" s="67" t="str">
        <f ca="1">IF(IF($M$4&lt;12,OFFSET('grunds. zuwendungsf. Ausgaben'!N27,0,$M$4),)=0,"",IF($M$4&lt;12,OFFSET('grunds. zuwendungsf. Ausgaben'!N27,0,$M$4),))</f>
        <v/>
      </c>
      <c r="H74" s="67" t="str">
        <f ca="1">IF(IF($M$4&lt;11,OFFSET('grunds. zuwendungsf. Ausgaben'!O27,0,$M$4),)=0,"",IF($M$4&lt;11,OFFSET('grunds. zuwendungsf. Ausgaben'!O27,0,$M$4),))</f>
        <v/>
      </c>
      <c r="I74" s="67" t="str">
        <f ca="1">IF(IF($M$4&lt;10,OFFSET('grunds. zuwendungsf. Ausgaben'!P27,0,$M$4),)=0,"",IF($M$4&lt;10,OFFSET('grunds. zuwendungsf. Ausgaben'!P27,0,$M$4),))</f>
        <v/>
      </c>
      <c r="J74" s="67" t="str">
        <f ca="1">IF(IF($M$4&lt;9,OFFSET('grunds. zuwendungsf. Ausgaben'!Q27,0,$M$4),)=0,"",IF($M$4&lt;9,OFFSET('grunds. zuwendungsf. Ausgaben'!Q27,0,$M$4),))</f>
        <v/>
      </c>
      <c r="K74" s="69" t="str">
        <f ca="1">IF(IF($M$4&lt;8,SUM(OFFSET('grunds. zuwendungsf. Ausgaben'!R27,0,$M$4):'grunds. zuwendungsf. Ausgaben'!Y27),0)=0,"",IF($M$4&lt;8,SUM(OFFSET('grunds. zuwendungsf. Ausgaben'!R27,0,$M$4):'grunds. zuwendungsf. Ausgaben'!Y27),0))</f>
        <v/>
      </c>
      <c r="L74" s="62" t="str">
        <f>IF('grunds. zuwendungsf. Ausgaben'!D27="","",'grunds. zuwendungsf. Ausgaben'!D27)</f>
        <v/>
      </c>
      <c r="M74" s="63" t="str">
        <f>IF('grunds. zuwendungsf. Ausgaben'!E27="","",'grunds. zuwendungsf. Ausgaben'!E27)</f>
        <v/>
      </c>
      <c r="N74" s="63" t="str">
        <f>IF('grunds. zuwendungsf. Ausgaben'!F27="","",'grunds. zuwendungsf. Ausgaben'!F27)</f>
        <v/>
      </c>
      <c r="O74" s="64" t="str">
        <f>IF('grunds. zuwendungsf. Ausgaben'!G27="","",'grunds. zuwendungsf. Ausgaben'!G27)</f>
        <v/>
      </c>
      <c r="P74" s="249" t="str">
        <f>IF('grunds. zuwendungsf. Ausgaben'!H27="","",'grunds. zuwendungsf. Ausgaben'!H27)</f>
        <v/>
      </c>
      <c r="Q74" s="250" t="str">
        <f>IF('grunds. zuwendungsf. Ausgaben'!AA27="","",'grunds. zuwendungsf. Ausgaben'!AA27)</f>
        <v/>
      </c>
      <c r="R74" s="251" t="str">
        <f>IF('grunds. zuwendungsf. Ausgaben'!AB27="","",'grunds. zuwendungsf. Ausgaben'!AB27)</f>
        <v/>
      </c>
      <c r="S74" s="255" t="str">
        <f>IF('grunds. zuwendungsf. Ausgaben'!AC27="","",'grunds. zuwendungsf. Ausgaben'!AC27)</f>
        <v/>
      </c>
    </row>
    <row r="75" spans="1:19" ht="18" customHeight="1">
      <c r="A75" s="44">
        <v>20</v>
      </c>
      <c r="B75" s="58" t="str">
        <f>IF('grunds. zuwendungsf. Ausgaben'!B28="","",'grunds. zuwendungsf. Ausgaben'!B28)</f>
        <v/>
      </c>
      <c r="C75" s="56" t="str">
        <f>IF('grunds. zuwendungsf. Ausgaben'!C28="","",'grunds. zuwendungsf. Ausgaben'!C28)</f>
        <v/>
      </c>
      <c r="D75" s="66">
        <f ca="1">SUM(Zuw_Ausgaben_KuF[[#This Row],[E]:[K]])</f>
        <v>0</v>
      </c>
      <c r="E75" s="67" t="str">
        <f ca="1">IF(SUM('grunds. zuwendungsf. Ausgaben'!L28:OFFSET('grunds. zuwendungsf. Ausgaben'!L28,0,$M$4))=0,"",SUM('grunds. zuwendungsf. Ausgaben'!L28:OFFSET('grunds. zuwendungsf. Ausgaben'!L28,0,$M$4)))</f>
        <v/>
      </c>
      <c r="F75" s="68" t="str">
        <f ca="1">IF(IF($M$4&lt;13,OFFSET('grunds. zuwendungsf. Ausgaben'!M28,0,$M$4),)=0,"",IF($M$4&lt;13,OFFSET('grunds. zuwendungsf. Ausgaben'!M28,0,$M$4),))</f>
        <v/>
      </c>
      <c r="G75" s="67" t="str">
        <f ca="1">IF(IF($M$4&lt;12,OFFSET('grunds. zuwendungsf. Ausgaben'!N28,0,$M$4),)=0,"",IF($M$4&lt;12,OFFSET('grunds. zuwendungsf. Ausgaben'!N28,0,$M$4),))</f>
        <v/>
      </c>
      <c r="H75" s="67" t="str">
        <f ca="1">IF(IF($M$4&lt;11,OFFSET('grunds. zuwendungsf. Ausgaben'!O28,0,$M$4),)=0,"",IF($M$4&lt;11,OFFSET('grunds. zuwendungsf. Ausgaben'!O28,0,$M$4),))</f>
        <v/>
      </c>
      <c r="I75" s="67" t="str">
        <f ca="1">IF(IF($M$4&lt;10,OFFSET('grunds. zuwendungsf. Ausgaben'!P28,0,$M$4),)=0,"",IF($M$4&lt;10,OFFSET('grunds. zuwendungsf. Ausgaben'!P28,0,$M$4),))</f>
        <v/>
      </c>
      <c r="J75" s="67" t="str">
        <f ca="1">IF(IF($M$4&lt;9,OFFSET('grunds. zuwendungsf. Ausgaben'!Q28,0,$M$4),)=0,"",IF($M$4&lt;9,OFFSET('grunds. zuwendungsf. Ausgaben'!Q28,0,$M$4),))</f>
        <v/>
      </c>
      <c r="K75" s="69" t="str">
        <f ca="1">IF(IF($M$4&lt;8,SUM(OFFSET('grunds. zuwendungsf. Ausgaben'!R28,0,$M$4):'grunds. zuwendungsf. Ausgaben'!Y28),0)=0,"",IF($M$4&lt;8,SUM(OFFSET('grunds. zuwendungsf. Ausgaben'!R28,0,$M$4):'grunds. zuwendungsf. Ausgaben'!Y28),0))</f>
        <v/>
      </c>
      <c r="L75" s="62" t="str">
        <f>IF('grunds. zuwendungsf. Ausgaben'!D28="","",'grunds. zuwendungsf. Ausgaben'!D28)</f>
        <v/>
      </c>
      <c r="M75" s="63" t="str">
        <f>IF('grunds. zuwendungsf. Ausgaben'!E28="","",'grunds. zuwendungsf. Ausgaben'!E28)</f>
        <v/>
      </c>
      <c r="N75" s="63" t="str">
        <f>IF('grunds. zuwendungsf. Ausgaben'!F28="","",'grunds. zuwendungsf. Ausgaben'!F28)</f>
        <v/>
      </c>
      <c r="O75" s="64" t="str">
        <f>IF('grunds. zuwendungsf. Ausgaben'!G28="","",'grunds. zuwendungsf. Ausgaben'!G28)</f>
        <v/>
      </c>
      <c r="P75" s="249" t="str">
        <f>IF('grunds. zuwendungsf. Ausgaben'!H28="","",'grunds. zuwendungsf. Ausgaben'!H28)</f>
        <v/>
      </c>
      <c r="Q75" s="250" t="str">
        <f>IF('grunds. zuwendungsf. Ausgaben'!AA28="","",'grunds. zuwendungsf. Ausgaben'!AA28)</f>
        <v/>
      </c>
      <c r="R75" s="251" t="str">
        <f>IF('grunds. zuwendungsf. Ausgaben'!AB28="","",'grunds. zuwendungsf. Ausgaben'!AB28)</f>
        <v/>
      </c>
      <c r="S75" s="255" t="str">
        <f>IF('grunds. zuwendungsf. Ausgaben'!AC28="","",'grunds. zuwendungsf. Ausgaben'!AC28)</f>
        <v/>
      </c>
    </row>
    <row r="76" spans="1:19" ht="18" customHeight="1">
      <c r="A76" s="44">
        <v>21</v>
      </c>
      <c r="B76" s="58" t="str">
        <f>IF('grunds. zuwendungsf. Ausgaben'!B29="","",'grunds. zuwendungsf. Ausgaben'!B29)</f>
        <v/>
      </c>
      <c r="C76" s="56" t="str">
        <f>IF('grunds. zuwendungsf. Ausgaben'!C29="","",'grunds. zuwendungsf. Ausgaben'!C29)</f>
        <v/>
      </c>
      <c r="D76" s="66">
        <f ca="1">SUM(Zuw_Ausgaben_KuF[[#This Row],[E]:[K]])</f>
        <v>0</v>
      </c>
      <c r="E76" s="67" t="str">
        <f ca="1">IF(SUM('grunds. zuwendungsf. Ausgaben'!L29:OFFSET('grunds. zuwendungsf. Ausgaben'!L29,0,$M$4))=0,"",SUM('grunds. zuwendungsf. Ausgaben'!L29:OFFSET('grunds. zuwendungsf. Ausgaben'!L29,0,$M$4)))</f>
        <v/>
      </c>
      <c r="F76" s="68" t="str">
        <f ca="1">IF(IF($M$4&lt;13,OFFSET('grunds. zuwendungsf. Ausgaben'!M29,0,$M$4),)=0,"",IF($M$4&lt;13,OFFSET('grunds. zuwendungsf. Ausgaben'!M29,0,$M$4),))</f>
        <v/>
      </c>
      <c r="G76" s="67" t="str">
        <f ca="1">IF(IF($M$4&lt;12,OFFSET('grunds. zuwendungsf. Ausgaben'!N29,0,$M$4),)=0,"",IF($M$4&lt;12,OFFSET('grunds. zuwendungsf. Ausgaben'!N29,0,$M$4),))</f>
        <v/>
      </c>
      <c r="H76" s="67" t="str">
        <f ca="1">IF(IF($M$4&lt;11,OFFSET('grunds. zuwendungsf. Ausgaben'!O29,0,$M$4),)=0,"",IF($M$4&lt;11,OFFSET('grunds. zuwendungsf. Ausgaben'!O29,0,$M$4),))</f>
        <v/>
      </c>
      <c r="I76" s="67" t="str">
        <f ca="1">IF(IF($M$4&lt;10,OFFSET('grunds. zuwendungsf. Ausgaben'!P29,0,$M$4),)=0,"",IF($M$4&lt;10,OFFSET('grunds. zuwendungsf. Ausgaben'!P29,0,$M$4),))</f>
        <v/>
      </c>
      <c r="J76" s="67" t="str">
        <f ca="1">IF(IF($M$4&lt;9,OFFSET('grunds. zuwendungsf. Ausgaben'!Q29,0,$M$4),)=0,"",IF($M$4&lt;9,OFFSET('grunds. zuwendungsf. Ausgaben'!Q29,0,$M$4),))</f>
        <v/>
      </c>
      <c r="K76" s="69" t="str">
        <f ca="1">IF(IF($M$4&lt;8,SUM(OFFSET('grunds. zuwendungsf. Ausgaben'!R29,0,$M$4):'grunds. zuwendungsf. Ausgaben'!Y29),0)=0,"",IF($M$4&lt;8,SUM(OFFSET('grunds. zuwendungsf. Ausgaben'!R29,0,$M$4):'grunds. zuwendungsf. Ausgaben'!Y29),0))</f>
        <v/>
      </c>
      <c r="L76" s="62" t="str">
        <f>IF('grunds. zuwendungsf. Ausgaben'!D29="","",'grunds. zuwendungsf. Ausgaben'!D29)</f>
        <v/>
      </c>
      <c r="M76" s="63" t="str">
        <f>IF('grunds. zuwendungsf. Ausgaben'!E29="","",'grunds. zuwendungsf. Ausgaben'!E29)</f>
        <v/>
      </c>
      <c r="N76" s="63" t="str">
        <f>IF('grunds. zuwendungsf. Ausgaben'!F29="","",'grunds. zuwendungsf. Ausgaben'!F29)</f>
        <v/>
      </c>
      <c r="O76" s="64" t="str">
        <f>IF('grunds. zuwendungsf. Ausgaben'!G29="","",'grunds. zuwendungsf. Ausgaben'!G29)</f>
        <v/>
      </c>
      <c r="P76" s="249" t="str">
        <f>IF('grunds. zuwendungsf. Ausgaben'!H29="","",'grunds. zuwendungsf. Ausgaben'!H29)</f>
        <v/>
      </c>
      <c r="Q76" s="250" t="str">
        <f>IF('grunds. zuwendungsf. Ausgaben'!AA29="","",'grunds. zuwendungsf. Ausgaben'!AA29)</f>
        <v/>
      </c>
      <c r="R76" s="251" t="str">
        <f>IF('grunds. zuwendungsf. Ausgaben'!AB29="","",'grunds. zuwendungsf. Ausgaben'!AB29)</f>
        <v/>
      </c>
      <c r="S76" s="255" t="str">
        <f>IF('grunds. zuwendungsf. Ausgaben'!AC29="","",'grunds. zuwendungsf. Ausgaben'!AC29)</f>
        <v/>
      </c>
    </row>
    <row r="77" spans="1:19" ht="18" customHeight="1">
      <c r="A77" s="44">
        <v>22</v>
      </c>
      <c r="B77" s="58" t="str">
        <f>IF('grunds. zuwendungsf. Ausgaben'!B30="","",'grunds. zuwendungsf. Ausgaben'!B30)</f>
        <v/>
      </c>
      <c r="C77" s="56" t="str">
        <f>IF('grunds. zuwendungsf. Ausgaben'!C30="","",'grunds. zuwendungsf. Ausgaben'!C30)</f>
        <v/>
      </c>
      <c r="D77" s="66">
        <f ca="1">SUM(Zuw_Ausgaben_KuF[[#This Row],[E]:[K]])</f>
        <v>0</v>
      </c>
      <c r="E77" s="67" t="str">
        <f ca="1">IF(SUM('grunds. zuwendungsf. Ausgaben'!L30:OFFSET('grunds. zuwendungsf. Ausgaben'!L30,0,$M$4))=0,"",SUM('grunds. zuwendungsf. Ausgaben'!L30:OFFSET('grunds. zuwendungsf. Ausgaben'!L30,0,$M$4)))</f>
        <v/>
      </c>
      <c r="F77" s="68" t="str">
        <f ca="1">IF(IF($M$4&lt;13,OFFSET('grunds. zuwendungsf. Ausgaben'!M30,0,$M$4),)=0,"",IF($M$4&lt;13,OFFSET('grunds. zuwendungsf. Ausgaben'!M30,0,$M$4),))</f>
        <v/>
      </c>
      <c r="G77" s="67" t="str">
        <f ca="1">IF(IF($M$4&lt;12,OFFSET('grunds. zuwendungsf. Ausgaben'!N30,0,$M$4),)=0,"",IF($M$4&lt;12,OFFSET('grunds. zuwendungsf. Ausgaben'!N30,0,$M$4),))</f>
        <v/>
      </c>
      <c r="H77" s="67" t="str">
        <f ca="1">IF(IF($M$4&lt;11,OFFSET('grunds. zuwendungsf. Ausgaben'!O30,0,$M$4),)=0,"",IF($M$4&lt;11,OFFSET('grunds. zuwendungsf. Ausgaben'!O30,0,$M$4),))</f>
        <v/>
      </c>
      <c r="I77" s="67" t="str">
        <f ca="1">IF(IF($M$4&lt;10,OFFSET('grunds. zuwendungsf. Ausgaben'!P30,0,$M$4),)=0,"",IF($M$4&lt;10,OFFSET('grunds. zuwendungsf. Ausgaben'!P30,0,$M$4),))</f>
        <v/>
      </c>
      <c r="J77" s="67" t="str">
        <f ca="1">IF(IF($M$4&lt;9,OFFSET('grunds. zuwendungsf. Ausgaben'!Q30,0,$M$4),)=0,"",IF($M$4&lt;9,OFFSET('grunds. zuwendungsf. Ausgaben'!Q30,0,$M$4),))</f>
        <v/>
      </c>
      <c r="K77" s="69" t="str">
        <f ca="1">IF(IF($M$4&lt;8,SUM(OFFSET('grunds. zuwendungsf. Ausgaben'!R30,0,$M$4):'grunds. zuwendungsf. Ausgaben'!Y30),0)=0,"",IF($M$4&lt;8,SUM(OFFSET('grunds. zuwendungsf. Ausgaben'!R30,0,$M$4):'grunds. zuwendungsf. Ausgaben'!Y30),0))</f>
        <v/>
      </c>
      <c r="L77" s="62" t="str">
        <f>IF('grunds. zuwendungsf. Ausgaben'!D30="","",'grunds. zuwendungsf. Ausgaben'!D30)</f>
        <v/>
      </c>
      <c r="M77" s="63" t="str">
        <f>IF('grunds. zuwendungsf. Ausgaben'!E30="","",'grunds. zuwendungsf. Ausgaben'!E30)</f>
        <v/>
      </c>
      <c r="N77" s="63" t="str">
        <f>IF('grunds. zuwendungsf. Ausgaben'!F30="","",'grunds. zuwendungsf. Ausgaben'!F30)</f>
        <v/>
      </c>
      <c r="O77" s="64" t="str">
        <f>IF('grunds. zuwendungsf. Ausgaben'!G30="","",'grunds. zuwendungsf. Ausgaben'!G30)</f>
        <v/>
      </c>
      <c r="P77" s="249" t="str">
        <f>IF('grunds. zuwendungsf. Ausgaben'!H30="","",'grunds. zuwendungsf. Ausgaben'!H30)</f>
        <v/>
      </c>
      <c r="Q77" s="250" t="str">
        <f>IF('grunds. zuwendungsf. Ausgaben'!AA30="","",'grunds. zuwendungsf. Ausgaben'!AA30)</f>
        <v/>
      </c>
      <c r="R77" s="251" t="str">
        <f>IF('grunds. zuwendungsf. Ausgaben'!AB30="","",'grunds. zuwendungsf. Ausgaben'!AB30)</f>
        <v/>
      </c>
      <c r="S77" s="255" t="str">
        <f>IF('grunds. zuwendungsf. Ausgaben'!AC30="","",'grunds. zuwendungsf. Ausgaben'!AC30)</f>
        <v/>
      </c>
    </row>
    <row r="78" spans="1:19" ht="18" customHeight="1">
      <c r="A78" s="44">
        <v>23</v>
      </c>
      <c r="B78" s="58" t="str">
        <f>IF('grunds. zuwendungsf. Ausgaben'!B31="","",'grunds. zuwendungsf. Ausgaben'!B31)</f>
        <v/>
      </c>
      <c r="C78" s="56" t="str">
        <f>IF('grunds. zuwendungsf. Ausgaben'!C31="","",'grunds. zuwendungsf. Ausgaben'!C31)</f>
        <v/>
      </c>
      <c r="D78" s="66">
        <f ca="1">SUM(Zuw_Ausgaben_KuF[[#This Row],[E]:[K]])</f>
        <v>0</v>
      </c>
      <c r="E78" s="67" t="str">
        <f ca="1">IF(SUM('grunds. zuwendungsf. Ausgaben'!L31:OFFSET('grunds. zuwendungsf. Ausgaben'!L31,0,$M$4))=0,"",SUM('grunds. zuwendungsf. Ausgaben'!L31:OFFSET('grunds. zuwendungsf. Ausgaben'!L31,0,$M$4)))</f>
        <v/>
      </c>
      <c r="F78" s="68" t="str">
        <f ca="1">IF(IF($M$4&lt;13,OFFSET('grunds. zuwendungsf. Ausgaben'!M31,0,$M$4),)=0,"",IF($M$4&lt;13,OFFSET('grunds. zuwendungsf. Ausgaben'!M31,0,$M$4),))</f>
        <v/>
      </c>
      <c r="G78" s="67" t="str">
        <f ca="1">IF(IF($M$4&lt;12,OFFSET('grunds. zuwendungsf. Ausgaben'!N31,0,$M$4),)=0,"",IF($M$4&lt;12,OFFSET('grunds. zuwendungsf. Ausgaben'!N31,0,$M$4),))</f>
        <v/>
      </c>
      <c r="H78" s="67" t="str">
        <f ca="1">IF(IF($M$4&lt;11,OFFSET('grunds. zuwendungsf. Ausgaben'!O31,0,$M$4),)=0,"",IF($M$4&lt;11,OFFSET('grunds. zuwendungsf. Ausgaben'!O31,0,$M$4),))</f>
        <v/>
      </c>
      <c r="I78" s="67" t="str">
        <f ca="1">IF(IF($M$4&lt;10,OFFSET('grunds. zuwendungsf. Ausgaben'!P31,0,$M$4),)=0,"",IF($M$4&lt;10,OFFSET('grunds. zuwendungsf. Ausgaben'!P31,0,$M$4),))</f>
        <v/>
      </c>
      <c r="J78" s="67" t="str">
        <f ca="1">IF(IF($M$4&lt;9,OFFSET('grunds. zuwendungsf. Ausgaben'!Q31,0,$M$4),)=0,"",IF($M$4&lt;9,OFFSET('grunds. zuwendungsf. Ausgaben'!Q31,0,$M$4),))</f>
        <v/>
      </c>
      <c r="K78" s="69" t="str">
        <f ca="1">IF(IF($M$4&lt;8,SUM(OFFSET('grunds. zuwendungsf. Ausgaben'!R31,0,$M$4):'grunds. zuwendungsf. Ausgaben'!Y31),0)=0,"",IF($M$4&lt;8,SUM(OFFSET('grunds. zuwendungsf. Ausgaben'!R31,0,$M$4):'grunds. zuwendungsf. Ausgaben'!Y31),0))</f>
        <v/>
      </c>
      <c r="L78" s="62" t="str">
        <f>IF('grunds. zuwendungsf. Ausgaben'!D31="","",'grunds. zuwendungsf. Ausgaben'!D31)</f>
        <v/>
      </c>
      <c r="M78" s="63" t="str">
        <f>IF('grunds. zuwendungsf. Ausgaben'!E31="","",'grunds. zuwendungsf. Ausgaben'!E31)</f>
        <v/>
      </c>
      <c r="N78" s="63" t="str">
        <f>IF('grunds. zuwendungsf. Ausgaben'!F31="","",'grunds. zuwendungsf. Ausgaben'!F31)</f>
        <v/>
      </c>
      <c r="O78" s="64" t="str">
        <f>IF('grunds. zuwendungsf. Ausgaben'!G31="","",'grunds. zuwendungsf. Ausgaben'!G31)</f>
        <v/>
      </c>
      <c r="P78" s="249" t="str">
        <f>IF('grunds. zuwendungsf. Ausgaben'!H31="","",'grunds. zuwendungsf. Ausgaben'!H31)</f>
        <v/>
      </c>
      <c r="Q78" s="250" t="str">
        <f>IF('grunds. zuwendungsf. Ausgaben'!AA31="","",'grunds. zuwendungsf. Ausgaben'!AA31)</f>
        <v/>
      </c>
      <c r="R78" s="251" t="str">
        <f>IF('grunds. zuwendungsf. Ausgaben'!AB31="","",'grunds. zuwendungsf. Ausgaben'!AB31)</f>
        <v/>
      </c>
      <c r="S78" s="255" t="str">
        <f>IF('grunds. zuwendungsf. Ausgaben'!AC31="","",'grunds. zuwendungsf. Ausgaben'!AC31)</f>
        <v/>
      </c>
    </row>
    <row r="79" spans="1:19" ht="18" customHeight="1">
      <c r="A79" s="44">
        <v>24</v>
      </c>
      <c r="B79" s="58" t="str">
        <f>IF('grunds. zuwendungsf. Ausgaben'!B32="","",'grunds. zuwendungsf. Ausgaben'!B32)</f>
        <v/>
      </c>
      <c r="C79" s="56" t="str">
        <f>IF('grunds. zuwendungsf. Ausgaben'!C32="","",'grunds. zuwendungsf. Ausgaben'!C32)</f>
        <v/>
      </c>
      <c r="D79" s="66">
        <f ca="1">SUM(Zuw_Ausgaben_KuF[[#This Row],[E]:[K]])</f>
        <v>0</v>
      </c>
      <c r="E79" s="67" t="str">
        <f ca="1">IF(SUM('grunds. zuwendungsf. Ausgaben'!L32:OFFSET('grunds. zuwendungsf. Ausgaben'!L32,0,$M$4))=0,"",SUM('grunds. zuwendungsf. Ausgaben'!L32:OFFSET('grunds. zuwendungsf. Ausgaben'!L32,0,$M$4)))</f>
        <v/>
      </c>
      <c r="F79" s="68" t="str">
        <f ca="1">IF(IF($M$4&lt;13,OFFSET('grunds. zuwendungsf. Ausgaben'!M32,0,$M$4),)=0,"",IF($M$4&lt;13,OFFSET('grunds. zuwendungsf. Ausgaben'!M32,0,$M$4),))</f>
        <v/>
      </c>
      <c r="G79" s="67" t="str">
        <f ca="1">IF(IF($M$4&lt;12,OFFSET('grunds. zuwendungsf. Ausgaben'!N32,0,$M$4),)=0,"",IF($M$4&lt;12,OFFSET('grunds. zuwendungsf. Ausgaben'!N32,0,$M$4),))</f>
        <v/>
      </c>
      <c r="H79" s="67" t="str">
        <f ca="1">IF(IF($M$4&lt;11,OFFSET('grunds. zuwendungsf. Ausgaben'!O32,0,$M$4),)=0,"",IF($M$4&lt;11,OFFSET('grunds. zuwendungsf. Ausgaben'!O32,0,$M$4),))</f>
        <v/>
      </c>
      <c r="I79" s="67" t="str">
        <f ca="1">IF(IF($M$4&lt;10,OFFSET('grunds. zuwendungsf. Ausgaben'!P32,0,$M$4),)=0,"",IF($M$4&lt;10,OFFSET('grunds. zuwendungsf. Ausgaben'!P32,0,$M$4),))</f>
        <v/>
      </c>
      <c r="J79" s="67" t="str">
        <f ca="1">IF(IF($M$4&lt;9,OFFSET('grunds. zuwendungsf. Ausgaben'!Q32,0,$M$4),)=0,"",IF($M$4&lt;9,OFFSET('grunds. zuwendungsf. Ausgaben'!Q32,0,$M$4),))</f>
        <v/>
      </c>
      <c r="K79" s="69" t="str">
        <f ca="1">IF(IF($M$4&lt;8,SUM(OFFSET('grunds. zuwendungsf. Ausgaben'!R32,0,$M$4):'grunds. zuwendungsf. Ausgaben'!Y32),0)=0,"",IF($M$4&lt;8,SUM(OFFSET('grunds. zuwendungsf. Ausgaben'!R32,0,$M$4):'grunds. zuwendungsf. Ausgaben'!Y32),0))</f>
        <v/>
      </c>
      <c r="L79" s="62" t="str">
        <f>IF('grunds. zuwendungsf. Ausgaben'!D32="","",'grunds. zuwendungsf. Ausgaben'!D32)</f>
        <v/>
      </c>
      <c r="M79" s="63" t="str">
        <f>IF('grunds. zuwendungsf. Ausgaben'!E32="","",'grunds. zuwendungsf. Ausgaben'!E32)</f>
        <v/>
      </c>
      <c r="N79" s="63" t="str">
        <f>IF('grunds. zuwendungsf. Ausgaben'!F32="","",'grunds. zuwendungsf. Ausgaben'!F32)</f>
        <v/>
      </c>
      <c r="O79" s="64" t="str">
        <f>IF('grunds. zuwendungsf. Ausgaben'!G32="","",'grunds. zuwendungsf. Ausgaben'!G32)</f>
        <v/>
      </c>
      <c r="P79" s="249" t="str">
        <f>IF('grunds. zuwendungsf. Ausgaben'!H32="","",'grunds. zuwendungsf. Ausgaben'!H32)</f>
        <v/>
      </c>
      <c r="Q79" s="250" t="str">
        <f>IF('grunds. zuwendungsf. Ausgaben'!AA32="","",'grunds. zuwendungsf. Ausgaben'!AA32)</f>
        <v/>
      </c>
      <c r="R79" s="251" t="str">
        <f>IF('grunds. zuwendungsf. Ausgaben'!AB32="","",'grunds. zuwendungsf. Ausgaben'!AB32)</f>
        <v/>
      </c>
      <c r="S79" s="255" t="str">
        <f>IF('grunds. zuwendungsf. Ausgaben'!AC32="","",'grunds. zuwendungsf. Ausgaben'!AC32)</f>
        <v/>
      </c>
    </row>
    <row r="80" spans="1:19" ht="18" customHeight="1">
      <c r="A80" s="44">
        <v>25</v>
      </c>
      <c r="B80" s="58" t="str">
        <f>IF('grunds. zuwendungsf. Ausgaben'!B33="","",'grunds. zuwendungsf. Ausgaben'!B33)</f>
        <v/>
      </c>
      <c r="C80" s="56" t="str">
        <f>IF('grunds. zuwendungsf. Ausgaben'!C33="","",'grunds. zuwendungsf. Ausgaben'!C33)</f>
        <v/>
      </c>
      <c r="D80" s="66">
        <f ca="1">SUM(Zuw_Ausgaben_KuF[[#This Row],[E]:[K]])</f>
        <v>0</v>
      </c>
      <c r="E80" s="67" t="str">
        <f ca="1">IF(SUM('grunds. zuwendungsf. Ausgaben'!L33:OFFSET('grunds. zuwendungsf. Ausgaben'!L33,0,$M$4))=0,"",SUM('grunds. zuwendungsf. Ausgaben'!L33:OFFSET('grunds. zuwendungsf. Ausgaben'!L33,0,$M$4)))</f>
        <v/>
      </c>
      <c r="F80" s="68" t="str">
        <f ca="1">IF(IF($M$4&lt;13,OFFSET('grunds. zuwendungsf. Ausgaben'!M33,0,$M$4),)=0,"",IF($M$4&lt;13,OFFSET('grunds. zuwendungsf. Ausgaben'!M33,0,$M$4),))</f>
        <v/>
      </c>
      <c r="G80" s="67" t="str">
        <f ca="1">IF(IF($M$4&lt;12,OFFSET('grunds. zuwendungsf. Ausgaben'!N33,0,$M$4),)=0,"",IF($M$4&lt;12,OFFSET('grunds. zuwendungsf. Ausgaben'!N33,0,$M$4),))</f>
        <v/>
      </c>
      <c r="H80" s="67" t="str">
        <f ca="1">IF(IF($M$4&lt;11,OFFSET('grunds. zuwendungsf. Ausgaben'!O33,0,$M$4),)=0,"",IF($M$4&lt;11,OFFSET('grunds. zuwendungsf. Ausgaben'!O33,0,$M$4),))</f>
        <v/>
      </c>
      <c r="I80" s="67" t="str">
        <f ca="1">IF(IF($M$4&lt;10,OFFSET('grunds. zuwendungsf. Ausgaben'!P33,0,$M$4),)=0,"",IF($M$4&lt;10,OFFSET('grunds. zuwendungsf. Ausgaben'!P33,0,$M$4),))</f>
        <v/>
      </c>
      <c r="J80" s="67" t="str">
        <f ca="1">IF(IF($M$4&lt;9,OFFSET('grunds. zuwendungsf. Ausgaben'!Q33,0,$M$4),)=0,"",IF($M$4&lt;9,OFFSET('grunds. zuwendungsf. Ausgaben'!Q33,0,$M$4),))</f>
        <v/>
      </c>
      <c r="K80" s="69" t="str">
        <f ca="1">IF(IF($M$4&lt;8,SUM(OFFSET('grunds. zuwendungsf. Ausgaben'!R33,0,$M$4):'grunds. zuwendungsf. Ausgaben'!Y33),0)=0,"",IF($M$4&lt;8,SUM(OFFSET('grunds. zuwendungsf. Ausgaben'!R33,0,$M$4):'grunds. zuwendungsf. Ausgaben'!Y33),0))</f>
        <v/>
      </c>
      <c r="L80" s="62" t="str">
        <f>IF('grunds. zuwendungsf. Ausgaben'!D33="","",'grunds. zuwendungsf. Ausgaben'!D33)</f>
        <v/>
      </c>
      <c r="M80" s="63" t="str">
        <f>IF('grunds. zuwendungsf. Ausgaben'!E33="","",'grunds. zuwendungsf. Ausgaben'!E33)</f>
        <v/>
      </c>
      <c r="N80" s="63" t="str">
        <f>IF('grunds. zuwendungsf. Ausgaben'!F33="","",'grunds. zuwendungsf. Ausgaben'!F33)</f>
        <v/>
      </c>
      <c r="O80" s="64" t="str">
        <f>IF('grunds. zuwendungsf. Ausgaben'!G33="","",'grunds. zuwendungsf. Ausgaben'!G33)</f>
        <v/>
      </c>
      <c r="P80" s="249" t="str">
        <f>IF('grunds. zuwendungsf. Ausgaben'!H33="","",'grunds. zuwendungsf. Ausgaben'!H33)</f>
        <v/>
      </c>
      <c r="Q80" s="250" t="str">
        <f>IF('grunds. zuwendungsf. Ausgaben'!AA33="","",'grunds. zuwendungsf. Ausgaben'!AA33)</f>
        <v/>
      </c>
      <c r="R80" s="251" t="str">
        <f>IF('grunds. zuwendungsf. Ausgaben'!AB33="","",'grunds. zuwendungsf. Ausgaben'!AB33)</f>
        <v/>
      </c>
      <c r="S80" s="255" t="str">
        <f>IF('grunds. zuwendungsf. Ausgaben'!AC33="","",'grunds. zuwendungsf. Ausgaben'!AC33)</f>
        <v/>
      </c>
    </row>
    <row r="81" spans="1:19" ht="18" customHeight="1">
      <c r="A81" s="44">
        <v>26</v>
      </c>
      <c r="B81" s="58" t="str">
        <f>IF('grunds. zuwendungsf. Ausgaben'!B34="","",'grunds. zuwendungsf. Ausgaben'!B34)</f>
        <v/>
      </c>
      <c r="C81" s="56" t="str">
        <f>IF('grunds. zuwendungsf. Ausgaben'!C34="","",'grunds. zuwendungsf. Ausgaben'!C34)</f>
        <v/>
      </c>
      <c r="D81" s="66">
        <f ca="1">SUM(Zuw_Ausgaben_KuF[[#This Row],[E]:[K]])</f>
        <v>0</v>
      </c>
      <c r="E81" s="67" t="str">
        <f ca="1">IF(SUM('grunds. zuwendungsf. Ausgaben'!L34:OFFSET('grunds. zuwendungsf. Ausgaben'!L34,0,$M$4))=0,"",SUM('grunds. zuwendungsf. Ausgaben'!L34:OFFSET('grunds. zuwendungsf. Ausgaben'!L34,0,$M$4)))</f>
        <v/>
      </c>
      <c r="F81" s="68" t="str">
        <f ca="1">IF(IF($M$4&lt;13,OFFSET('grunds. zuwendungsf. Ausgaben'!M34,0,$M$4),)=0,"",IF($M$4&lt;13,OFFSET('grunds. zuwendungsf. Ausgaben'!M34,0,$M$4),))</f>
        <v/>
      </c>
      <c r="G81" s="67" t="str">
        <f ca="1">IF(IF($M$4&lt;12,OFFSET('grunds. zuwendungsf. Ausgaben'!N34,0,$M$4),)=0,"",IF($M$4&lt;12,OFFSET('grunds. zuwendungsf. Ausgaben'!N34,0,$M$4),))</f>
        <v/>
      </c>
      <c r="H81" s="67" t="str">
        <f ca="1">IF(IF($M$4&lt;11,OFFSET('grunds. zuwendungsf. Ausgaben'!O34,0,$M$4),)=0,"",IF($M$4&lt;11,OFFSET('grunds. zuwendungsf. Ausgaben'!O34,0,$M$4),))</f>
        <v/>
      </c>
      <c r="I81" s="67" t="str">
        <f ca="1">IF(IF($M$4&lt;10,OFFSET('grunds. zuwendungsf. Ausgaben'!P34,0,$M$4),)=0,"",IF($M$4&lt;10,OFFSET('grunds. zuwendungsf. Ausgaben'!P34,0,$M$4),))</f>
        <v/>
      </c>
      <c r="J81" s="67" t="str">
        <f ca="1">IF(IF($M$4&lt;9,OFFSET('grunds. zuwendungsf. Ausgaben'!Q34,0,$M$4),)=0,"",IF($M$4&lt;9,OFFSET('grunds. zuwendungsf. Ausgaben'!Q34,0,$M$4),))</f>
        <v/>
      </c>
      <c r="K81" s="69" t="str">
        <f ca="1">IF(IF($M$4&lt;8,SUM(OFFSET('grunds. zuwendungsf. Ausgaben'!R34,0,$M$4):'grunds. zuwendungsf. Ausgaben'!Y34),0)=0,"",IF($M$4&lt;8,SUM(OFFSET('grunds. zuwendungsf. Ausgaben'!R34,0,$M$4):'grunds. zuwendungsf. Ausgaben'!Y34),0))</f>
        <v/>
      </c>
      <c r="L81" s="62" t="str">
        <f>IF('grunds. zuwendungsf. Ausgaben'!D34="","",'grunds. zuwendungsf. Ausgaben'!D34)</f>
        <v/>
      </c>
      <c r="M81" s="63" t="str">
        <f>IF('grunds. zuwendungsf. Ausgaben'!E34="","",'grunds. zuwendungsf. Ausgaben'!E34)</f>
        <v/>
      </c>
      <c r="N81" s="63" t="str">
        <f>IF('grunds. zuwendungsf. Ausgaben'!F34="","",'grunds. zuwendungsf. Ausgaben'!F34)</f>
        <v/>
      </c>
      <c r="O81" s="64" t="str">
        <f>IF('grunds. zuwendungsf. Ausgaben'!G34="","",'grunds. zuwendungsf. Ausgaben'!G34)</f>
        <v/>
      </c>
      <c r="P81" s="249" t="str">
        <f>IF('grunds. zuwendungsf. Ausgaben'!H34="","",'grunds. zuwendungsf. Ausgaben'!H34)</f>
        <v/>
      </c>
      <c r="Q81" s="250" t="str">
        <f>IF('grunds. zuwendungsf. Ausgaben'!AA34="","",'grunds. zuwendungsf. Ausgaben'!AA34)</f>
        <v/>
      </c>
      <c r="R81" s="251" t="str">
        <f>IF('grunds. zuwendungsf. Ausgaben'!AB34="","",'grunds. zuwendungsf. Ausgaben'!AB34)</f>
        <v/>
      </c>
      <c r="S81" s="255" t="str">
        <f>IF('grunds. zuwendungsf. Ausgaben'!AC34="","",'grunds. zuwendungsf. Ausgaben'!AC34)</f>
        <v/>
      </c>
    </row>
    <row r="82" spans="1:19" ht="18" customHeight="1">
      <c r="A82" s="44">
        <v>27</v>
      </c>
      <c r="B82" s="58" t="str">
        <f>IF('grunds. zuwendungsf. Ausgaben'!B35="","",'grunds. zuwendungsf. Ausgaben'!B35)</f>
        <v/>
      </c>
      <c r="C82" s="56" t="str">
        <f>IF('grunds. zuwendungsf. Ausgaben'!C35="","",'grunds. zuwendungsf. Ausgaben'!C35)</f>
        <v/>
      </c>
      <c r="D82" s="66">
        <f ca="1">SUM(Zuw_Ausgaben_KuF[[#This Row],[E]:[K]])</f>
        <v>0</v>
      </c>
      <c r="E82" s="67" t="str">
        <f ca="1">IF(SUM('grunds. zuwendungsf. Ausgaben'!L35:OFFSET('grunds. zuwendungsf. Ausgaben'!L35,0,$M$4))=0,"",SUM('grunds. zuwendungsf. Ausgaben'!L35:OFFSET('grunds. zuwendungsf. Ausgaben'!L35,0,$M$4)))</f>
        <v/>
      </c>
      <c r="F82" s="68" t="str">
        <f ca="1">IF(IF($M$4&lt;13,OFFSET('grunds. zuwendungsf. Ausgaben'!M35,0,$M$4),)=0,"",IF($M$4&lt;13,OFFSET('grunds. zuwendungsf. Ausgaben'!M35,0,$M$4),))</f>
        <v/>
      </c>
      <c r="G82" s="67" t="str">
        <f ca="1">IF(IF($M$4&lt;12,OFFSET('grunds. zuwendungsf. Ausgaben'!N35,0,$M$4),)=0,"",IF($M$4&lt;12,OFFSET('grunds. zuwendungsf. Ausgaben'!N35,0,$M$4),))</f>
        <v/>
      </c>
      <c r="H82" s="67" t="str">
        <f ca="1">IF(IF($M$4&lt;11,OFFSET('grunds. zuwendungsf. Ausgaben'!O35,0,$M$4),)=0,"",IF($M$4&lt;11,OFFSET('grunds. zuwendungsf. Ausgaben'!O35,0,$M$4),))</f>
        <v/>
      </c>
      <c r="I82" s="67" t="str">
        <f ca="1">IF(IF($M$4&lt;10,OFFSET('grunds. zuwendungsf. Ausgaben'!P35,0,$M$4),)=0,"",IF($M$4&lt;10,OFFSET('grunds. zuwendungsf. Ausgaben'!P35,0,$M$4),))</f>
        <v/>
      </c>
      <c r="J82" s="67" t="str">
        <f ca="1">IF(IF($M$4&lt;9,OFFSET('grunds. zuwendungsf. Ausgaben'!Q35,0,$M$4),)=0,"",IF($M$4&lt;9,OFFSET('grunds. zuwendungsf. Ausgaben'!Q35,0,$M$4),))</f>
        <v/>
      </c>
      <c r="K82" s="69" t="str">
        <f ca="1">IF(IF($M$4&lt;8,SUM(OFFSET('grunds. zuwendungsf. Ausgaben'!R35,0,$M$4):'grunds. zuwendungsf. Ausgaben'!Y35),0)=0,"",IF($M$4&lt;8,SUM(OFFSET('grunds. zuwendungsf. Ausgaben'!R35,0,$M$4):'grunds. zuwendungsf. Ausgaben'!Y35),0))</f>
        <v/>
      </c>
      <c r="L82" s="62" t="str">
        <f>IF('grunds. zuwendungsf. Ausgaben'!D35="","",'grunds. zuwendungsf. Ausgaben'!D35)</f>
        <v/>
      </c>
      <c r="M82" s="63" t="str">
        <f>IF('grunds. zuwendungsf. Ausgaben'!E35="","",'grunds. zuwendungsf. Ausgaben'!E35)</f>
        <v/>
      </c>
      <c r="N82" s="63" t="str">
        <f>IF('grunds. zuwendungsf. Ausgaben'!F35="","",'grunds. zuwendungsf. Ausgaben'!F35)</f>
        <v/>
      </c>
      <c r="O82" s="64" t="str">
        <f>IF('grunds. zuwendungsf. Ausgaben'!G35="","",'grunds. zuwendungsf. Ausgaben'!G35)</f>
        <v/>
      </c>
      <c r="P82" s="249" t="str">
        <f>IF('grunds. zuwendungsf. Ausgaben'!H35="","",'grunds. zuwendungsf. Ausgaben'!H35)</f>
        <v/>
      </c>
      <c r="Q82" s="250" t="str">
        <f>IF('grunds. zuwendungsf. Ausgaben'!AA35="","",'grunds. zuwendungsf. Ausgaben'!AA35)</f>
        <v/>
      </c>
      <c r="R82" s="251" t="str">
        <f>IF('grunds. zuwendungsf. Ausgaben'!AB35="","",'grunds. zuwendungsf. Ausgaben'!AB35)</f>
        <v/>
      </c>
      <c r="S82" s="255" t="str">
        <f>IF('grunds. zuwendungsf. Ausgaben'!AC35="","",'grunds. zuwendungsf. Ausgaben'!AC35)</f>
        <v/>
      </c>
    </row>
    <row r="83" spans="1:19" ht="18" customHeight="1">
      <c r="A83" s="44">
        <v>28</v>
      </c>
      <c r="B83" s="58" t="str">
        <f>IF('grunds. zuwendungsf. Ausgaben'!B36="","",'grunds. zuwendungsf. Ausgaben'!B36)</f>
        <v/>
      </c>
      <c r="C83" s="56" t="str">
        <f>IF('grunds. zuwendungsf. Ausgaben'!C36="","",'grunds. zuwendungsf. Ausgaben'!C36)</f>
        <v/>
      </c>
      <c r="D83" s="66">
        <f ca="1">SUM(Zuw_Ausgaben_KuF[[#This Row],[E]:[K]])</f>
        <v>0</v>
      </c>
      <c r="E83" s="67" t="str">
        <f ca="1">IF(SUM('grunds. zuwendungsf. Ausgaben'!L36:OFFSET('grunds. zuwendungsf. Ausgaben'!L36,0,$M$4))=0,"",SUM('grunds. zuwendungsf. Ausgaben'!L36:OFFSET('grunds. zuwendungsf. Ausgaben'!L36,0,$M$4)))</f>
        <v/>
      </c>
      <c r="F83" s="68" t="str">
        <f ca="1">IF(IF($M$4&lt;13,OFFSET('grunds. zuwendungsf. Ausgaben'!M36,0,$M$4),)=0,"",IF($M$4&lt;13,OFFSET('grunds. zuwendungsf. Ausgaben'!M36,0,$M$4),))</f>
        <v/>
      </c>
      <c r="G83" s="67" t="str">
        <f ca="1">IF(IF($M$4&lt;12,OFFSET('grunds. zuwendungsf. Ausgaben'!N36,0,$M$4),)=0,"",IF($M$4&lt;12,OFFSET('grunds. zuwendungsf. Ausgaben'!N36,0,$M$4),))</f>
        <v/>
      </c>
      <c r="H83" s="67" t="str">
        <f ca="1">IF(IF($M$4&lt;11,OFFSET('grunds. zuwendungsf. Ausgaben'!O36,0,$M$4),)=0,"",IF($M$4&lt;11,OFFSET('grunds. zuwendungsf. Ausgaben'!O36,0,$M$4),))</f>
        <v/>
      </c>
      <c r="I83" s="67" t="str">
        <f ca="1">IF(IF($M$4&lt;10,OFFSET('grunds. zuwendungsf. Ausgaben'!P36,0,$M$4),)=0,"",IF($M$4&lt;10,OFFSET('grunds. zuwendungsf. Ausgaben'!P36,0,$M$4),))</f>
        <v/>
      </c>
      <c r="J83" s="67" t="str">
        <f ca="1">IF(IF($M$4&lt;9,OFFSET('grunds. zuwendungsf. Ausgaben'!Q36,0,$M$4),)=0,"",IF($M$4&lt;9,OFFSET('grunds. zuwendungsf. Ausgaben'!Q36,0,$M$4),))</f>
        <v/>
      </c>
      <c r="K83" s="69" t="str">
        <f ca="1">IF(IF($M$4&lt;8,SUM(OFFSET('grunds. zuwendungsf. Ausgaben'!R36,0,$M$4):'grunds. zuwendungsf. Ausgaben'!Y36),0)=0,"",IF($M$4&lt;8,SUM(OFFSET('grunds. zuwendungsf. Ausgaben'!R36,0,$M$4):'grunds. zuwendungsf. Ausgaben'!Y36),0))</f>
        <v/>
      </c>
      <c r="L83" s="62" t="str">
        <f>IF('grunds. zuwendungsf. Ausgaben'!D36="","",'grunds. zuwendungsf. Ausgaben'!D36)</f>
        <v/>
      </c>
      <c r="M83" s="63" t="str">
        <f>IF('grunds. zuwendungsf. Ausgaben'!E36="","",'grunds. zuwendungsf. Ausgaben'!E36)</f>
        <v/>
      </c>
      <c r="N83" s="63" t="str">
        <f>IF('grunds. zuwendungsf. Ausgaben'!F36="","",'grunds. zuwendungsf. Ausgaben'!F36)</f>
        <v/>
      </c>
      <c r="O83" s="64" t="str">
        <f>IF('grunds. zuwendungsf. Ausgaben'!G36="","",'grunds. zuwendungsf. Ausgaben'!G36)</f>
        <v/>
      </c>
      <c r="P83" s="249" t="str">
        <f>IF('grunds. zuwendungsf. Ausgaben'!H36="","",'grunds. zuwendungsf. Ausgaben'!H36)</f>
        <v/>
      </c>
      <c r="Q83" s="250" t="str">
        <f>IF('grunds. zuwendungsf. Ausgaben'!AA36="","",'grunds. zuwendungsf. Ausgaben'!AA36)</f>
        <v/>
      </c>
      <c r="R83" s="251" t="str">
        <f>IF('grunds. zuwendungsf. Ausgaben'!AB36="","",'grunds. zuwendungsf. Ausgaben'!AB36)</f>
        <v/>
      </c>
      <c r="S83" s="255" t="str">
        <f>IF('grunds. zuwendungsf. Ausgaben'!AC36="","",'grunds. zuwendungsf. Ausgaben'!AC36)</f>
        <v/>
      </c>
    </row>
    <row r="84" spans="1:19" ht="18" customHeight="1">
      <c r="A84" s="44">
        <v>29</v>
      </c>
      <c r="B84" s="58" t="str">
        <f>IF('grunds. zuwendungsf. Ausgaben'!B37="","",'grunds. zuwendungsf. Ausgaben'!B37)</f>
        <v/>
      </c>
      <c r="C84" s="56" t="str">
        <f>IF('grunds. zuwendungsf. Ausgaben'!C37="","",'grunds. zuwendungsf. Ausgaben'!C37)</f>
        <v/>
      </c>
      <c r="D84" s="66">
        <f ca="1">SUM(Zuw_Ausgaben_KuF[[#This Row],[E]:[K]])</f>
        <v>0</v>
      </c>
      <c r="E84" s="67" t="str">
        <f ca="1">IF(SUM('grunds. zuwendungsf. Ausgaben'!L37:OFFSET('grunds. zuwendungsf. Ausgaben'!L37,0,$M$4))=0,"",SUM('grunds. zuwendungsf. Ausgaben'!L37:OFFSET('grunds. zuwendungsf. Ausgaben'!L37,0,$M$4)))</f>
        <v/>
      </c>
      <c r="F84" s="68" t="str">
        <f ca="1">IF(IF($M$4&lt;13,OFFSET('grunds. zuwendungsf. Ausgaben'!M37,0,$M$4),)=0,"",IF($M$4&lt;13,OFFSET('grunds. zuwendungsf. Ausgaben'!M37,0,$M$4),))</f>
        <v/>
      </c>
      <c r="G84" s="67" t="str">
        <f ca="1">IF(IF($M$4&lt;12,OFFSET('grunds. zuwendungsf. Ausgaben'!N37,0,$M$4),)=0,"",IF($M$4&lt;12,OFFSET('grunds. zuwendungsf. Ausgaben'!N37,0,$M$4),))</f>
        <v/>
      </c>
      <c r="H84" s="67" t="str">
        <f ca="1">IF(IF($M$4&lt;11,OFFSET('grunds. zuwendungsf. Ausgaben'!O37,0,$M$4),)=0,"",IF($M$4&lt;11,OFFSET('grunds. zuwendungsf. Ausgaben'!O37,0,$M$4),))</f>
        <v/>
      </c>
      <c r="I84" s="67" t="str">
        <f ca="1">IF(IF($M$4&lt;10,OFFSET('grunds. zuwendungsf. Ausgaben'!P37,0,$M$4),)=0,"",IF($M$4&lt;10,OFFSET('grunds. zuwendungsf. Ausgaben'!P37,0,$M$4),))</f>
        <v/>
      </c>
      <c r="J84" s="67" t="str">
        <f ca="1">IF(IF($M$4&lt;9,OFFSET('grunds. zuwendungsf. Ausgaben'!Q37,0,$M$4),)=0,"",IF($M$4&lt;9,OFFSET('grunds. zuwendungsf. Ausgaben'!Q37,0,$M$4),))</f>
        <v/>
      </c>
      <c r="K84" s="69" t="str">
        <f ca="1">IF(IF($M$4&lt;8,SUM(OFFSET('grunds. zuwendungsf. Ausgaben'!R37,0,$M$4):'grunds. zuwendungsf. Ausgaben'!Y37),0)=0,"",IF($M$4&lt;8,SUM(OFFSET('grunds. zuwendungsf. Ausgaben'!R37,0,$M$4):'grunds. zuwendungsf. Ausgaben'!Y37),0))</f>
        <v/>
      </c>
      <c r="L84" s="62" t="str">
        <f>IF('grunds. zuwendungsf. Ausgaben'!D37="","",'grunds. zuwendungsf. Ausgaben'!D37)</f>
        <v/>
      </c>
      <c r="M84" s="63" t="str">
        <f>IF('grunds. zuwendungsf. Ausgaben'!E37="","",'grunds. zuwendungsf. Ausgaben'!E37)</f>
        <v/>
      </c>
      <c r="N84" s="63" t="str">
        <f>IF('grunds. zuwendungsf. Ausgaben'!F37="","",'grunds. zuwendungsf. Ausgaben'!F37)</f>
        <v/>
      </c>
      <c r="O84" s="64" t="str">
        <f>IF('grunds. zuwendungsf. Ausgaben'!G37="","",'grunds. zuwendungsf. Ausgaben'!G37)</f>
        <v/>
      </c>
      <c r="P84" s="249" t="str">
        <f>IF('grunds. zuwendungsf. Ausgaben'!H37="","",'grunds. zuwendungsf. Ausgaben'!H37)</f>
        <v/>
      </c>
      <c r="Q84" s="250" t="str">
        <f>IF('grunds. zuwendungsf. Ausgaben'!AA37="","",'grunds. zuwendungsf. Ausgaben'!AA37)</f>
        <v/>
      </c>
      <c r="R84" s="251" t="str">
        <f>IF('grunds. zuwendungsf. Ausgaben'!AB37="","",'grunds. zuwendungsf. Ausgaben'!AB37)</f>
        <v/>
      </c>
      <c r="S84" s="255" t="str">
        <f>IF('grunds. zuwendungsf. Ausgaben'!AC37="","",'grunds. zuwendungsf. Ausgaben'!AC37)</f>
        <v/>
      </c>
    </row>
    <row r="85" spans="1:19" ht="18" customHeight="1">
      <c r="A85" s="44">
        <v>30</v>
      </c>
      <c r="B85" s="58" t="str">
        <f>IF('grunds. zuwendungsf. Ausgaben'!B38="","",'grunds. zuwendungsf. Ausgaben'!B38)</f>
        <v/>
      </c>
      <c r="C85" s="56" t="str">
        <f>IF('grunds. zuwendungsf. Ausgaben'!C38="","",'grunds. zuwendungsf. Ausgaben'!C38)</f>
        <v/>
      </c>
      <c r="D85" s="66">
        <f ca="1">SUM(Zuw_Ausgaben_KuF[[#This Row],[E]:[K]])</f>
        <v>0</v>
      </c>
      <c r="E85" s="67" t="str">
        <f ca="1">IF(SUM('grunds. zuwendungsf. Ausgaben'!L38:OFFSET('grunds. zuwendungsf. Ausgaben'!L38,0,$M$4))=0,"",SUM('grunds. zuwendungsf. Ausgaben'!L38:OFFSET('grunds. zuwendungsf. Ausgaben'!L38,0,$M$4)))</f>
        <v/>
      </c>
      <c r="F85" s="68" t="str">
        <f ca="1">IF(IF($M$4&lt;13,OFFSET('grunds. zuwendungsf. Ausgaben'!M38,0,$M$4),)=0,"",IF($M$4&lt;13,OFFSET('grunds. zuwendungsf. Ausgaben'!M38,0,$M$4),))</f>
        <v/>
      </c>
      <c r="G85" s="67" t="str">
        <f ca="1">IF(IF($M$4&lt;12,OFFSET('grunds. zuwendungsf. Ausgaben'!N38,0,$M$4),)=0,"",IF($M$4&lt;12,OFFSET('grunds. zuwendungsf. Ausgaben'!N38,0,$M$4),))</f>
        <v/>
      </c>
      <c r="H85" s="67" t="str">
        <f ca="1">IF(IF($M$4&lt;11,OFFSET('grunds. zuwendungsf. Ausgaben'!O38,0,$M$4),)=0,"",IF($M$4&lt;11,OFFSET('grunds. zuwendungsf. Ausgaben'!O38,0,$M$4),))</f>
        <v/>
      </c>
      <c r="I85" s="67" t="str">
        <f ca="1">IF(IF($M$4&lt;10,OFFSET('grunds. zuwendungsf. Ausgaben'!P38,0,$M$4),)=0,"",IF($M$4&lt;10,OFFSET('grunds. zuwendungsf. Ausgaben'!P38,0,$M$4),))</f>
        <v/>
      </c>
      <c r="J85" s="67" t="str">
        <f ca="1">IF(IF($M$4&lt;9,OFFSET('grunds. zuwendungsf. Ausgaben'!Q38,0,$M$4),)=0,"",IF($M$4&lt;9,OFFSET('grunds. zuwendungsf. Ausgaben'!Q38,0,$M$4),))</f>
        <v/>
      </c>
      <c r="K85" s="69" t="str">
        <f ca="1">IF(IF($M$4&lt;8,SUM(OFFSET('grunds. zuwendungsf. Ausgaben'!R38,0,$M$4):'grunds. zuwendungsf. Ausgaben'!Y38),0)=0,"",IF($M$4&lt;8,SUM(OFFSET('grunds. zuwendungsf. Ausgaben'!R38,0,$M$4):'grunds. zuwendungsf. Ausgaben'!Y38),0))</f>
        <v/>
      </c>
      <c r="L85" s="62" t="str">
        <f>IF('grunds. zuwendungsf. Ausgaben'!D38="","",'grunds. zuwendungsf. Ausgaben'!D38)</f>
        <v/>
      </c>
      <c r="M85" s="63" t="str">
        <f>IF('grunds. zuwendungsf. Ausgaben'!E38="","",'grunds. zuwendungsf. Ausgaben'!E38)</f>
        <v/>
      </c>
      <c r="N85" s="63" t="str">
        <f>IF('grunds. zuwendungsf. Ausgaben'!F38="","",'grunds. zuwendungsf. Ausgaben'!F38)</f>
        <v/>
      </c>
      <c r="O85" s="64" t="str">
        <f>IF('grunds. zuwendungsf. Ausgaben'!G38="","",'grunds. zuwendungsf. Ausgaben'!G38)</f>
        <v/>
      </c>
      <c r="P85" s="249" t="str">
        <f>IF('grunds. zuwendungsf. Ausgaben'!H38="","",'grunds. zuwendungsf. Ausgaben'!H38)</f>
        <v/>
      </c>
      <c r="Q85" s="250" t="str">
        <f>IF('grunds. zuwendungsf. Ausgaben'!AA38="","",'grunds. zuwendungsf. Ausgaben'!AA38)</f>
        <v/>
      </c>
      <c r="R85" s="251" t="str">
        <f>IF('grunds. zuwendungsf. Ausgaben'!AB38="","",'grunds. zuwendungsf. Ausgaben'!AB38)</f>
        <v/>
      </c>
      <c r="S85" s="255" t="str">
        <f>IF('grunds. zuwendungsf. Ausgaben'!AC38="","",'grunds. zuwendungsf. Ausgaben'!AC38)</f>
        <v/>
      </c>
    </row>
    <row r="86" spans="1:19" ht="18" customHeight="1">
      <c r="A86" s="44">
        <v>31</v>
      </c>
      <c r="B86" s="58" t="str">
        <f>IF('grunds. zuwendungsf. Ausgaben'!B39="","",'grunds. zuwendungsf. Ausgaben'!B39)</f>
        <v/>
      </c>
      <c r="C86" s="56" t="str">
        <f>IF('grunds. zuwendungsf. Ausgaben'!C39="","",'grunds. zuwendungsf. Ausgaben'!C39)</f>
        <v/>
      </c>
      <c r="D86" s="66">
        <f ca="1">SUM(Zuw_Ausgaben_KuF[[#This Row],[E]:[K]])</f>
        <v>0</v>
      </c>
      <c r="E86" s="67" t="str">
        <f ca="1">IF(SUM('grunds. zuwendungsf. Ausgaben'!L39:OFFSET('grunds. zuwendungsf. Ausgaben'!L39,0,$M$4))=0,"",SUM('grunds. zuwendungsf. Ausgaben'!L39:OFFSET('grunds. zuwendungsf. Ausgaben'!L39,0,$M$4)))</f>
        <v/>
      </c>
      <c r="F86" s="68" t="str">
        <f ca="1">IF(IF($M$4&lt;13,OFFSET('grunds. zuwendungsf. Ausgaben'!M39,0,$M$4),)=0,"",IF($M$4&lt;13,OFFSET('grunds. zuwendungsf. Ausgaben'!M39,0,$M$4),))</f>
        <v/>
      </c>
      <c r="G86" s="67" t="str">
        <f ca="1">IF(IF($M$4&lt;12,OFFSET('grunds. zuwendungsf. Ausgaben'!N39,0,$M$4),)=0,"",IF($M$4&lt;12,OFFSET('grunds. zuwendungsf. Ausgaben'!N39,0,$M$4),))</f>
        <v/>
      </c>
      <c r="H86" s="67" t="str">
        <f ca="1">IF(IF($M$4&lt;11,OFFSET('grunds. zuwendungsf. Ausgaben'!O39,0,$M$4),)=0,"",IF($M$4&lt;11,OFFSET('grunds. zuwendungsf. Ausgaben'!O39,0,$M$4),))</f>
        <v/>
      </c>
      <c r="I86" s="67" t="str">
        <f ca="1">IF(IF($M$4&lt;10,OFFSET('grunds. zuwendungsf. Ausgaben'!P39,0,$M$4),)=0,"",IF($M$4&lt;10,OFFSET('grunds. zuwendungsf. Ausgaben'!P39,0,$M$4),))</f>
        <v/>
      </c>
      <c r="J86" s="67" t="str">
        <f ca="1">IF(IF($M$4&lt;9,OFFSET('grunds. zuwendungsf. Ausgaben'!Q39,0,$M$4),)=0,"",IF($M$4&lt;9,OFFSET('grunds. zuwendungsf. Ausgaben'!Q39,0,$M$4),))</f>
        <v/>
      </c>
      <c r="K86" s="69" t="str">
        <f ca="1">IF(IF($M$4&lt;8,SUM(OFFSET('grunds. zuwendungsf. Ausgaben'!R39,0,$M$4):'grunds. zuwendungsf. Ausgaben'!Y39),0)=0,"",IF($M$4&lt;8,SUM(OFFSET('grunds. zuwendungsf. Ausgaben'!R39,0,$M$4):'grunds. zuwendungsf. Ausgaben'!Y39),0))</f>
        <v/>
      </c>
      <c r="L86" s="62" t="str">
        <f>IF('grunds. zuwendungsf. Ausgaben'!D39="","",'grunds. zuwendungsf. Ausgaben'!D39)</f>
        <v/>
      </c>
      <c r="M86" s="63" t="str">
        <f>IF('grunds. zuwendungsf. Ausgaben'!E39="","",'grunds. zuwendungsf. Ausgaben'!E39)</f>
        <v/>
      </c>
      <c r="N86" s="63" t="str">
        <f>IF('grunds. zuwendungsf. Ausgaben'!F39="","",'grunds. zuwendungsf. Ausgaben'!F39)</f>
        <v/>
      </c>
      <c r="O86" s="64" t="str">
        <f>IF('grunds. zuwendungsf. Ausgaben'!G39="","",'grunds. zuwendungsf. Ausgaben'!G39)</f>
        <v/>
      </c>
      <c r="P86" s="249" t="str">
        <f>IF('grunds. zuwendungsf. Ausgaben'!H39="","",'grunds. zuwendungsf. Ausgaben'!H39)</f>
        <v/>
      </c>
      <c r="Q86" s="250" t="str">
        <f>IF('grunds. zuwendungsf. Ausgaben'!AA39="","",'grunds. zuwendungsf. Ausgaben'!AA39)</f>
        <v/>
      </c>
      <c r="R86" s="251" t="str">
        <f>IF('grunds. zuwendungsf. Ausgaben'!AB39="","",'grunds. zuwendungsf. Ausgaben'!AB39)</f>
        <v/>
      </c>
      <c r="S86" s="255" t="str">
        <f>IF('grunds. zuwendungsf. Ausgaben'!AC39="","",'grunds. zuwendungsf. Ausgaben'!AC39)</f>
        <v/>
      </c>
    </row>
    <row r="87" spans="1:19" ht="18" customHeight="1">
      <c r="A87" s="44">
        <v>32</v>
      </c>
      <c r="B87" s="58" t="str">
        <f>IF('grunds. zuwendungsf. Ausgaben'!B40="","",'grunds. zuwendungsf. Ausgaben'!B40)</f>
        <v/>
      </c>
      <c r="C87" s="56" t="str">
        <f>IF('grunds. zuwendungsf. Ausgaben'!C40="","",'grunds. zuwendungsf. Ausgaben'!C40)</f>
        <v/>
      </c>
      <c r="D87" s="66">
        <f ca="1">SUM(Zuw_Ausgaben_KuF[[#This Row],[E]:[K]])</f>
        <v>0</v>
      </c>
      <c r="E87" s="67" t="str">
        <f ca="1">IF(SUM('grunds. zuwendungsf. Ausgaben'!L40:OFFSET('grunds. zuwendungsf. Ausgaben'!L40,0,$M$4))=0,"",SUM('grunds. zuwendungsf. Ausgaben'!L40:OFFSET('grunds. zuwendungsf. Ausgaben'!L40,0,$M$4)))</f>
        <v/>
      </c>
      <c r="F87" s="68" t="str">
        <f ca="1">IF(IF($M$4&lt;13,OFFSET('grunds. zuwendungsf. Ausgaben'!M40,0,$M$4),)=0,"",IF($M$4&lt;13,OFFSET('grunds. zuwendungsf. Ausgaben'!M40,0,$M$4),))</f>
        <v/>
      </c>
      <c r="G87" s="67" t="str">
        <f ca="1">IF(IF($M$4&lt;12,OFFSET('grunds. zuwendungsf. Ausgaben'!N40,0,$M$4),)=0,"",IF($M$4&lt;12,OFFSET('grunds. zuwendungsf. Ausgaben'!N40,0,$M$4),))</f>
        <v/>
      </c>
      <c r="H87" s="67" t="str">
        <f ca="1">IF(IF($M$4&lt;11,OFFSET('grunds. zuwendungsf. Ausgaben'!O40,0,$M$4),)=0,"",IF($M$4&lt;11,OFFSET('grunds. zuwendungsf. Ausgaben'!O40,0,$M$4),))</f>
        <v/>
      </c>
      <c r="I87" s="67" t="str">
        <f ca="1">IF(IF($M$4&lt;10,OFFSET('grunds. zuwendungsf. Ausgaben'!P40,0,$M$4),)=0,"",IF($M$4&lt;10,OFFSET('grunds. zuwendungsf. Ausgaben'!P40,0,$M$4),))</f>
        <v/>
      </c>
      <c r="J87" s="67" t="str">
        <f ca="1">IF(IF($M$4&lt;9,OFFSET('grunds. zuwendungsf. Ausgaben'!Q40,0,$M$4),)=0,"",IF($M$4&lt;9,OFFSET('grunds. zuwendungsf. Ausgaben'!Q40,0,$M$4),))</f>
        <v/>
      </c>
      <c r="K87" s="69" t="str">
        <f ca="1">IF(IF($M$4&lt;8,SUM(OFFSET('grunds. zuwendungsf. Ausgaben'!R40,0,$M$4):'grunds. zuwendungsf. Ausgaben'!Y40),0)=0,"",IF($M$4&lt;8,SUM(OFFSET('grunds. zuwendungsf. Ausgaben'!R40,0,$M$4):'grunds. zuwendungsf. Ausgaben'!Y40),0))</f>
        <v/>
      </c>
      <c r="L87" s="62" t="str">
        <f>IF('grunds. zuwendungsf. Ausgaben'!D40="","",'grunds. zuwendungsf. Ausgaben'!D40)</f>
        <v/>
      </c>
      <c r="M87" s="63" t="str">
        <f>IF('grunds. zuwendungsf. Ausgaben'!E40="","",'grunds. zuwendungsf. Ausgaben'!E40)</f>
        <v/>
      </c>
      <c r="N87" s="63" t="str">
        <f>IF('grunds. zuwendungsf. Ausgaben'!F40="","",'grunds. zuwendungsf. Ausgaben'!F40)</f>
        <v/>
      </c>
      <c r="O87" s="64" t="str">
        <f>IF('grunds. zuwendungsf. Ausgaben'!G40="","",'grunds. zuwendungsf. Ausgaben'!G40)</f>
        <v/>
      </c>
      <c r="P87" s="249" t="str">
        <f>IF('grunds. zuwendungsf. Ausgaben'!H40="","",'grunds. zuwendungsf. Ausgaben'!H40)</f>
        <v/>
      </c>
      <c r="Q87" s="250" t="str">
        <f>IF('grunds. zuwendungsf. Ausgaben'!AA40="","",'grunds. zuwendungsf. Ausgaben'!AA40)</f>
        <v/>
      </c>
      <c r="R87" s="251" t="str">
        <f>IF('grunds. zuwendungsf. Ausgaben'!AB40="","",'grunds. zuwendungsf. Ausgaben'!AB40)</f>
        <v/>
      </c>
      <c r="S87" s="255" t="str">
        <f>IF('grunds. zuwendungsf. Ausgaben'!AC40="","",'grunds. zuwendungsf. Ausgaben'!AC40)</f>
        <v/>
      </c>
    </row>
    <row r="88" spans="1:19" ht="18" customHeight="1">
      <c r="A88" s="44">
        <v>33</v>
      </c>
      <c r="B88" s="58" t="str">
        <f>IF('grunds. zuwendungsf. Ausgaben'!B41="","",'grunds. zuwendungsf. Ausgaben'!B41)</f>
        <v/>
      </c>
      <c r="C88" s="56" t="str">
        <f>IF('grunds. zuwendungsf. Ausgaben'!C41="","",'grunds. zuwendungsf. Ausgaben'!C41)</f>
        <v/>
      </c>
      <c r="D88" s="66">
        <f ca="1">SUM(Zuw_Ausgaben_KuF[[#This Row],[E]:[K]])</f>
        <v>0</v>
      </c>
      <c r="E88" s="67" t="str">
        <f ca="1">IF(SUM('grunds. zuwendungsf. Ausgaben'!L41:OFFSET('grunds. zuwendungsf. Ausgaben'!L41,0,$M$4))=0,"",SUM('grunds. zuwendungsf. Ausgaben'!L41:OFFSET('grunds. zuwendungsf. Ausgaben'!L41,0,$M$4)))</f>
        <v/>
      </c>
      <c r="F88" s="68" t="str">
        <f ca="1">IF(IF($M$4&lt;13,OFFSET('grunds. zuwendungsf. Ausgaben'!M41,0,$M$4),)=0,"",IF($M$4&lt;13,OFFSET('grunds. zuwendungsf. Ausgaben'!M41,0,$M$4),))</f>
        <v/>
      </c>
      <c r="G88" s="67" t="str">
        <f ca="1">IF(IF($M$4&lt;12,OFFSET('grunds. zuwendungsf. Ausgaben'!N41,0,$M$4),)=0,"",IF($M$4&lt;12,OFFSET('grunds. zuwendungsf. Ausgaben'!N41,0,$M$4),))</f>
        <v/>
      </c>
      <c r="H88" s="67" t="str">
        <f ca="1">IF(IF($M$4&lt;11,OFFSET('grunds. zuwendungsf. Ausgaben'!O41,0,$M$4),)=0,"",IF($M$4&lt;11,OFFSET('grunds. zuwendungsf. Ausgaben'!O41,0,$M$4),))</f>
        <v/>
      </c>
      <c r="I88" s="67" t="str">
        <f ca="1">IF(IF($M$4&lt;10,OFFSET('grunds. zuwendungsf. Ausgaben'!P41,0,$M$4),)=0,"",IF($M$4&lt;10,OFFSET('grunds. zuwendungsf. Ausgaben'!P41,0,$M$4),))</f>
        <v/>
      </c>
      <c r="J88" s="67" t="str">
        <f ca="1">IF(IF($M$4&lt;9,OFFSET('grunds. zuwendungsf. Ausgaben'!Q41,0,$M$4),)=0,"",IF($M$4&lt;9,OFFSET('grunds. zuwendungsf. Ausgaben'!Q41,0,$M$4),))</f>
        <v/>
      </c>
      <c r="K88" s="69" t="str">
        <f ca="1">IF(IF($M$4&lt;8,SUM(OFFSET('grunds. zuwendungsf. Ausgaben'!R41,0,$M$4):'grunds. zuwendungsf. Ausgaben'!Y41),0)=0,"",IF($M$4&lt;8,SUM(OFFSET('grunds. zuwendungsf. Ausgaben'!R41,0,$M$4):'grunds. zuwendungsf. Ausgaben'!Y41),0))</f>
        <v/>
      </c>
      <c r="L88" s="62" t="str">
        <f>IF('grunds. zuwendungsf. Ausgaben'!D41="","",'grunds. zuwendungsf. Ausgaben'!D41)</f>
        <v/>
      </c>
      <c r="M88" s="63" t="str">
        <f>IF('grunds. zuwendungsf. Ausgaben'!E41="","",'grunds. zuwendungsf. Ausgaben'!E41)</f>
        <v/>
      </c>
      <c r="N88" s="63" t="str">
        <f>IF('grunds. zuwendungsf. Ausgaben'!F41="","",'grunds. zuwendungsf. Ausgaben'!F41)</f>
        <v/>
      </c>
      <c r="O88" s="64" t="str">
        <f>IF('grunds. zuwendungsf. Ausgaben'!G41="","",'grunds. zuwendungsf. Ausgaben'!G41)</f>
        <v/>
      </c>
      <c r="P88" s="249" t="str">
        <f>IF('grunds. zuwendungsf. Ausgaben'!H41="","",'grunds. zuwendungsf. Ausgaben'!H41)</f>
        <v/>
      </c>
      <c r="Q88" s="250" t="str">
        <f>IF('grunds. zuwendungsf. Ausgaben'!AA41="","",'grunds. zuwendungsf. Ausgaben'!AA41)</f>
        <v/>
      </c>
      <c r="R88" s="251" t="str">
        <f>IF('grunds. zuwendungsf. Ausgaben'!AB41="","",'grunds. zuwendungsf. Ausgaben'!AB41)</f>
        <v/>
      </c>
      <c r="S88" s="255" t="str">
        <f>IF('grunds. zuwendungsf. Ausgaben'!AC41="","",'grunds. zuwendungsf. Ausgaben'!AC41)</f>
        <v/>
      </c>
    </row>
    <row r="89" spans="1:19" ht="18" customHeight="1">
      <c r="A89" s="44">
        <v>34</v>
      </c>
      <c r="B89" s="58" t="str">
        <f>IF('grunds. zuwendungsf. Ausgaben'!B42="","",'grunds. zuwendungsf. Ausgaben'!B42)</f>
        <v/>
      </c>
      <c r="C89" s="56" t="str">
        <f>IF('grunds. zuwendungsf. Ausgaben'!C42="","",'grunds. zuwendungsf. Ausgaben'!C42)</f>
        <v/>
      </c>
      <c r="D89" s="66">
        <f ca="1">SUM(Zuw_Ausgaben_KuF[[#This Row],[E]:[K]])</f>
        <v>0</v>
      </c>
      <c r="E89" s="67" t="str">
        <f ca="1">IF(SUM('grunds. zuwendungsf. Ausgaben'!L42:OFFSET('grunds. zuwendungsf. Ausgaben'!L42,0,$M$4))=0,"",SUM('grunds. zuwendungsf. Ausgaben'!L42:OFFSET('grunds. zuwendungsf. Ausgaben'!L42,0,$M$4)))</f>
        <v/>
      </c>
      <c r="F89" s="68" t="str">
        <f ca="1">IF(IF($M$4&lt;13,OFFSET('grunds. zuwendungsf. Ausgaben'!M42,0,$M$4),)=0,"",IF($M$4&lt;13,OFFSET('grunds. zuwendungsf. Ausgaben'!M42,0,$M$4),))</f>
        <v/>
      </c>
      <c r="G89" s="67" t="str">
        <f ca="1">IF(IF($M$4&lt;12,OFFSET('grunds. zuwendungsf. Ausgaben'!N42,0,$M$4),)=0,"",IF($M$4&lt;12,OFFSET('grunds. zuwendungsf. Ausgaben'!N42,0,$M$4),))</f>
        <v/>
      </c>
      <c r="H89" s="67" t="str">
        <f ca="1">IF(IF($M$4&lt;11,OFFSET('grunds. zuwendungsf. Ausgaben'!O42,0,$M$4),)=0,"",IF($M$4&lt;11,OFFSET('grunds. zuwendungsf. Ausgaben'!O42,0,$M$4),))</f>
        <v/>
      </c>
      <c r="I89" s="67" t="str">
        <f ca="1">IF(IF($M$4&lt;10,OFFSET('grunds. zuwendungsf. Ausgaben'!P42,0,$M$4),)=0,"",IF($M$4&lt;10,OFFSET('grunds. zuwendungsf. Ausgaben'!P42,0,$M$4),))</f>
        <v/>
      </c>
      <c r="J89" s="67" t="str">
        <f ca="1">IF(IF($M$4&lt;9,OFFSET('grunds. zuwendungsf. Ausgaben'!Q42,0,$M$4),)=0,"",IF($M$4&lt;9,OFFSET('grunds. zuwendungsf. Ausgaben'!Q42,0,$M$4),))</f>
        <v/>
      </c>
      <c r="K89" s="69" t="str">
        <f ca="1">IF(IF($M$4&lt;8,SUM(OFFSET('grunds. zuwendungsf. Ausgaben'!R42,0,$M$4):'grunds. zuwendungsf. Ausgaben'!Y42),0)=0,"",IF($M$4&lt;8,SUM(OFFSET('grunds. zuwendungsf. Ausgaben'!R42,0,$M$4):'grunds. zuwendungsf. Ausgaben'!Y42),0))</f>
        <v/>
      </c>
      <c r="L89" s="62" t="str">
        <f>IF('grunds. zuwendungsf. Ausgaben'!D42="","",'grunds. zuwendungsf. Ausgaben'!D42)</f>
        <v/>
      </c>
      <c r="M89" s="63" t="str">
        <f>IF('grunds. zuwendungsf. Ausgaben'!E42="","",'grunds. zuwendungsf. Ausgaben'!E42)</f>
        <v/>
      </c>
      <c r="N89" s="63" t="str">
        <f>IF('grunds. zuwendungsf. Ausgaben'!F42="","",'grunds. zuwendungsf. Ausgaben'!F42)</f>
        <v/>
      </c>
      <c r="O89" s="64" t="str">
        <f>IF('grunds. zuwendungsf. Ausgaben'!G42="","",'grunds. zuwendungsf. Ausgaben'!G42)</f>
        <v/>
      </c>
      <c r="P89" s="249" t="str">
        <f>IF('grunds. zuwendungsf. Ausgaben'!H42="","",'grunds. zuwendungsf. Ausgaben'!H42)</f>
        <v/>
      </c>
      <c r="Q89" s="250" t="str">
        <f>IF('grunds. zuwendungsf. Ausgaben'!AA42="","",'grunds. zuwendungsf. Ausgaben'!AA42)</f>
        <v/>
      </c>
      <c r="R89" s="251" t="str">
        <f>IF('grunds. zuwendungsf. Ausgaben'!AB42="","",'grunds. zuwendungsf. Ausgaben'!AB42)</f>
        <v/>
      </c>
      <c r="S89" s="255" t="str">
        <f>IF('grunds. zuwendungsf. Ausgaben'!AC42="","",'grunds. zuwendungsf. Ausgaben'!AC42)</f>
        <v/>
      </c>
    </row>
    <row r="90" spans="1:19" ht="18" customHeight="1">
      <c r="A90" s="44">
        <v>35</v>
      </c>
      <c r="B90" s="58" t="str">
        <f>IF('grunds. zuwendungsf. Ausgaben'!B43="","",'grunds. zuwendungsf. Ausgaben'!B43)</f>
        <v/>
      </c>
      <c r="C90" s="56" t="str">
        <f>IF('grunds. zuwendungsf. Ausgaben'!C43="","",'grunds. zuwendungsf. Ausgaben'!C43)</f>
        <v/>
      </c>
      <c r="D90" s="66">
        <f ca="1">SUM(Zuw_Ausgaben_KuF[[#This Row],[E]:[K]])</f>
        <v>0</v>
      </c>
      <c r="E90" s="67" t="str">
        <f ca="1">IF(SUM('grunds. zuwendungsf. Ausgaben'!L43:OFFSET('grunds. zuwendungsf. Ausgaben'!L43,0,$M$4))=0,"",SUM('grunds. zuwendungsf. Ausgaben'!L43:OFFSET('grunds. zuwendungsf. Ausgaben'!L43,0,$M$4)))</f>
        <v/>
      </c>
      <c r="F90" s="68" t="str">
        <f ca="1">IF(IF($M$4&lt;13,OFFSET('grunds. zuwendungsf. Ausgaben'!M43,0,$M$4),)=0,"",IF($M$4&lt;13,OFFSET('grunds. zuwendungsf. Ausgaben'!M43,0,$M$4),))</f>
        <v/>
      </c>
      <c r="G90" s="67" t="str">
        <f ca="1">IF(IF($M$4&lt;12,OFFSET('grunds. zuwendungsf. Ausgaben'!N43,0,$M$4),)=0,"",IF($M$4&lt;12,OFFSET('grunds. zuwendungsf. Ausgaben'!N43,0,$M$4),))</f>
        <v/>
      </c>
      <c r="H90" s="67" t="str">
        <f ca="1">IF(IF($M$4&lt;11,OFFSET('grunds. zuwendungsf. Ausgaben'!O43,0,$M$4),)=0,"",IF($M$4&lt;11,OFFSET('grunds. zuwendungsf. Ausgaben'!O43,0,$M$4),))</f>
        <v/>
      </c>
      <c r="I90" s="67" t="str">
        <f ca="1">IF(IF($M$4&lt;10,OFFSET('grunds. zuwendungsf. Ausgaben'!P43,0,$M$4),)=0,"",IF($M$4&lt;10,OFFSET('grunds. zuwendungsf. Ausgaben'!P43,0,$M$4),))</f>
        <v/>
      </c>
      <c r="J90" s="67" t="str">
        <f ca="1">IF(IF($M$4&lt;9,OFFSET('grunds. zuwendungsf. Ausgaben'!Q43,0,$M$4),)=0,"",IF($M$4&lt;9,OFFSET('grunds. zuwendungsf. Ausgaben'!Q43,0,$M$4),))</f>
        <v/>
      </c>
      <c r="K90" s="69" t="str">
        <f ca="1">IF(IF($M$4&lt;8,SUM(OFFSET('grunds. zuwendungsf. Ausgaben'!R43,0,$M$4):'grunds. zuwendungsf. Ausgaben'!Y43),0)=0,"",IF($M$4&lt;8,SUM(OFFSET('grunds. zuwendungsf. Ausgaben'!R43,0,$M$4):'grunds. zuwendungsf. Ausgaben'!Y43),0))</f>
        <v/>
      </c>
      <c r="L90" s="62" t="str">
        <f>IF('grunds. zuwendungsf. Ausgaben'!D43="","",'grunds. zuwendungsf. Ausgaben'!D43)</f>
        <v/>
      </c>
      <c r="M90" s="63" t="str">
        <f>IF('grunds. zuwendungsf. Ausgaben'!E43="","",'grunds. zuwendungsf. Ausgaben'!E43)</f>
        <v/>
      </c>
      <c r="N90" s="63" t="str">
        <f>IF('grunds. zuwendungsf. Ausgaben'!F43="","",'grunds. zuwendungsf. Ausgaben'!F43)</f>
        <v/>
      </c>
      <c r="O90" s="64" t="str">
        <f>IF('grunds. zuwendungsf. Ausgaben'!G43="","",'grunds. zuwendungsf. Ausgaben'!G43)</f>
        <v/>
      </c>
      <c r="P90" s="249" t="str">
        <f>IF('grunds. zuwendungsf. Ausgaben'!H43="","",'grunds. zuwendungsf. Ausgaben'!H43)</f>
        <v/>
      </c>
      <c r="Q90" s="250" t="str">
        <f>IF('grunds. zuwendungsf. Ausgaben'!AA43="","",'grunds. zuwendungsf. Ausgaben'!AA43)</f>
        <v/>
      </c>
      <c r="R90" s="251" t="str">
        <f>IF('grunds. zuwendungsf. Ausgaben'!AB43="","",'grunds. zuwendungsf. Ausgaben'!AB43)</f>
        <v/>
      </c>
      <c r="S90" s="255" t="str">
        <f>IF('grunds. zuwendungsf. Ausgaben'!AC43="","",'grunds. zuwendungsf. Ausgaben'!AC43)</f>
        <v/>
      </c>
    </row>
    <row r="91" spans="1:19" ht="18" customHeight="1">
      <c r="A91" s="44">
        <v>36</v>
      </c>
      <c r="B91" s="58" t="str">
        <f>IF('grunds. zuwendungsf. Ausgaben'!B44="","",'grunds. zuwendungsf. Ausgaben'!B44)</f>
        <v/>
      </c>
      <c r="C91" s="56" t="str">
        <f>IF('grunds. zuwendungsf. Ausgaben'!C44="","",'grunds. zuwendungsf. Ausgaben'!C44)</f>
        <v/>
      </c>
      <c r="D91" s="66">
        <f ca="1">SUM(Zuw_Ausgaben_KuF[[#This Row],[E]:[K]])</f>
        <v>0</v>
      </c>
      <c r="E91" s="67" t="str">
        <f ca="1">IF(SUM('grunds. zuwendungsf. Ausgaben'!L44:OFFSET('grunds. zuwendungsf. Ausgaben'!L44,0,$M$4))=0,"",SUM('grunds. zuwendungsf. Ausgaben'!L44:OFFSET('grunds. zuwendungsf. Ausgaben'!L44,0,$M$4)))</f>
        <v/>
      </c>
      <c r="F91" s="68" t="str">
        <f ca="1">IF(IF($M$4&lt;13,OFFSET('grunds. zuwendungsf. Ausgaben'!M44,0,$M$4),)=0,"",IF($M$4&lt;13,OFFSET('grunds. zuwendungsf. Ausgaben'!M44,0,$M$4),))</f>
        <v/>
      </c>
      <c r="G91" s="67" t="str">
        <f ca="1">IF(IF($M$4&lt;12,OFFSET('grunds. zuwendungsf. Ausgaben'!N44,0,$M$4),)=0,"",IF($M$4&lt;12,OFFSET('grunds. zuwendungsf. Ausgaben'!N44,0,$M$4),))</f>
        <v/>
      </c>
      <c r="H91" s="67" t="str">
        <f ca="1">IF(IF($M$4&lt;11,OFFSET('grunds. zuwendungsf. Ausgaben'!O44,0,$M$4),)=0,"",IF($M$4&lt;11,OFFSET('grunds. zuwendungsf. Ausgaben'!O44,0,$M$4),))</f>
        <v/>
      </c>
      <c r="I91" s="67" t="str">
        <f ca="1">IF(IF($M$4&lt;10,OFFSET('grunds. zuwendungsf. Ausgaben'!P44,0,$M$4),)=0,"",IF($M$4&lt;10,OFFSET('grunds. zuwendungsf. Ausgaben'!P44,0,$M$4),))</f>
        <v/>
      </c>
      <c r="J91" s="67" t="str">
        <f ca="1">IF(IF($M$4&lt;9,OFFSET('grunds. zuwendungsf. Ausgaben'!Q44,0,$M$4),)=0,"",IF($M$4&lt;9,OFFSET('grunds. zuwendungsf. Ausgaben'!Q44,0,$M$4),))</f>
        <v/>
      </c>
      <c r="K91" s="69" t="str">
        <f ca="1">IF(IF($M$4&lt;8,SUM(OFFSET('grunds. zuwendungsf. Ausgaben'!R44,0,$M$4):'grunds. zuwendungsf. Ausgaben'!Y44),0)=0,"",IF($M$4&lt;8,SUM(OFFSET('grunds. zuwendungsf. Ausgaben'!R44,0,$M$4):'grunds. zuwendungsf. Ausgaben'!Y44),0))</f>
        <v/>
      </c>
      <c r="L91" s="62" t="str">
        <f>IF('grunds. zuwendungsf. Ausgaben'!D44="","",'grunds. zuwendungsf. Ausgaben'!D44)</f>
        <v/>
      </c>
      <c r="M91" s="63" t="str">
        <f>IF('grunds. zuwendungsf. Ausgaben'!E44="","",'grunds. zuwendungsf. Ausgaben'!E44)</f>
        <v/>
      </c>
      <c r="N91" s="63" t="str">
        <f>IF('grunds. zuwendungsf. Ausgaben'!F44="","",'grunds. zuwendungsf. Ausgaben'!F44)</f>
        <v/>
      </c>
      <c r="O91" s="64" t="str">
        <f>IF('grunds. zuwendungsf. Ausgaben'!G44="","",'grunds. zuwendungsf. Ausgaben'!G44)</f>
        <v/>
      </c>
      <c r="P91" s="249" t="str">
        <f>IF('grunds. zuwendungsf. Ausgaben'!H44="","",'grunds. zuwendungsf. Ausgaben'!H44)</f>
        <v/>
      </c>
      <c r="Q91" s="250" t="str">
        <f>IF('grunds. zuwendungsf. Ausgaben'!AA44="","",'grunds. zuwendungsf. Ausgaben'!AA44)</f>
        <v/>
      </c>
      <c r="R91" s="251" t="str">
        <f>IF('grunds. zuwendungsf. Ausgaben'!AB44="","",'grunds. zuwendungsf. Ausgaben'!AB44)</f>
        <v/>
      </c>
      <c r="S91" s="255" t="str">
        <f>IF('grunds. zuwendungsf. Ausgaben'!AC44="","",'grunds. zuwendungsf. Ausgaben'!AC44)</f>
        <v/>
      </c>
    </row>
    <row r="92" spans="1:19" ht="18" customHeight="1">
      <c r="A92" s="44">
        <v>37</v>
      </c>
      <c r="B92" s="58" t="str">
        <f>IF('grunds. zuwendungsf. Ausgaben'!B45="","",'grunds. zuwendungsf. Ausgaben'!B45)</f>
        <v/>
      </c>
      <c r="C92" s="56" t="str">
        <f>IF('grunds. zuwendungsf. Ausgaben'!C45="","",'grunds. zuwendungsf. Ausgaben'!C45)</f>
        <v/>
      </c>
      <c r="D92" s="66">
        <f ca="1">SUM(Zuw_Ausgaben_KuF[[#This Row],[E]:[K]])</f>
        <v>0</v>
      </c>
      <c r="E92" s="67" t="str">
        <f ca="1">IF(SUM('grunds. zuwendungsf. Ausgaben'!L45:OFFSET('grunds. zuwendungsf. Ausgaben'!L45,0,$M$4))=0,"",SUM('grunds. zuwendungsf. Ausgaben'!L45:OFFSET('grunds. zuwendungsf. Ausgaben'!L45,0,$M$4)))</f>
        <v/>
      </c>
      <c r="F92" s="68" t="str">
        <f ca="1">IF(IF($M$4&lt;13,OFFSET('grunds. zuwendungsf. Ausgaben'!M45,0,$M$4),)=0,"",IF($M$4&lt;13,OFFSET('grunds. zuwendungsf. Ausgaben'!M45,0,$M$4),))</f>
        <v/>
      </c>
      <c r="G92" s="67" t="str">
        <f ca="1">IF(IF($M$4&lt;12,OFFSET('grunds. zuwendungsf. Ausgaben'!N45,0,$M$4),)=0,"",IF($M$4&lt;12,OFFSET('grunds. zuwendungsf. Ausgaben'!N45,0,$M$4),))</f>
        <v/>
      </c>
      <c r="H92" s="67" t="str">
        <f ca="1">IF(IF($M$4&lt;11,OFFSET('grunds. zuwendungsf. Ausgaben'!O45,0,$M$4),)=0,"",IF($M$4&lt;11,OFFSET('grunds. zuwendungsf. Ausgaben'!O45,0,$M$4),))</f>
        <v/>
      </c>
      <c r="I92" s="67" t="str">
        <f ca="1">IF(IF($M$4&lt;10,OFFSET('grunds. zuwendungsf. Ausgaben'!P45,0,$M$4),)=0,"",IF($M$4&lt;10,OFFSET('grunds. zuwendungsf. Ausgaben'!P45,0,$M$4),))</f>
        <v/>
      </c>
      <c r="J92" s="67" t="str">
        <f ca="1">IF(IF($M$4&lt;9,OFFSET('grunds. zuwendungsf. Ausgaben'!Q45,0,$M$4),)=0,"",IF($M$4&lt;9,OFFSET('grunds. zuwendungsf. Ausgaben'!Q45,0,$M$4),))</f>
        <v/>
      </c>
      <c r="K92" s="69" t="str">
        <f ca="1">IF(IF($M$4&lt;8,SUM(OFFSET('grunds. zuwendungsf. Ausgaben'!R45,0,$M$4):'grunds. zuwendungsf. Ausgaben'!Y45),0)=0,"",IF($M$4&lt;8,SUM(OFFSET('grunds. zuwendungsf. Ausgaben'!R45,0,$M$4):'grunds. zuwendungsf. Ausgaben'!Y45),0))</f>
        <v/>
      </c>
      <c r="L92" s="62" t="str">
        <f>IF('grunds. zuwendungsf. Ausgaben'!D45="","",'grunds. zuwendungsf. Ausgaben'!D45)</f>
        <v/>
      </c>
      <c r="M92" s="63" t="str">
        <f>IF('grunds. zuwendungsf. Ausgaben'!E45="","",'grunds. zuwendungsf. Ausgaben'!E45)</f>
        <v/>
      </c>
      <c r="N92" s="63" t="str">
        <f>IF('grunds. zuwendungsf. Ausgaben'!F45="","",'grunds. zuwendungsf. Ausgaben'!F45)</f>
        <v/>
      </c>
      <c r="O92" s="64" t="str">
        <f>IF('grunds. zuwendungsf. Ausgaben'!G45="","",'grunds. zuwendungsf. Ausgaben'!G45)</f>
        <v/>
      </c>
      <c r="P92" s="249" t="str">
        <f>IF('grunds. zuwendungsf. Ausgaben'!H45="","",'grunds. zuwendungsf. Ausgaben'!H45)</f>
        <v/>
      </c>
      <c r="Q92" s="250" t="str">
        <f>IF('grunds. zuwendungsf. Ausgaben'!AA45="","",'grunds. zuwendungsf. Ausgaben'!AA45)</f>
        <v/>
      </c>
      <c r="R92" s="251" t="str">
        <f>IF('grunds. zuwendungsf. Ausgaben'!AB45="","",'grunds. zuwendungsf. Ausgaben'!AB45)</f>
        <v/>
      </c>
      <c r="S92" s="255" t="str">
        <f>IF('grunds. zuwendungsf. Ausgaben'!AC45="","",'grunds. zuwendungsf. Ausgaben'!AC45)</f>
        <v/>
      </c>
    </row>
    <row r="93" spans="1:19" ht="18" customHeight="1">
      <c r="A93" s="44">
        <v>38</v>
      </c>
      <c r="B93" s="58" t="str">
        <f>IF('grunds. zuwendungsf. Ausgaben'!B46="","",'grunds. zuwendungsf. Ausgaben'!B46)</f>
        <v/>
      </c>
      <c r="C93" s="56" t="str">
        <f>IF('grunds. zuwendungsf. Ausgaben'!C46="","",'grunds. zuwendungsf. Ausgaben'!C46)</f>
        <v/>
      </c>
      <c r="D93" s="66">
        <f ca="1">SUM(Zuw_Ausgaben_KuF[[#This Row],[E]:[K]])</f>
        <v>0</v>
      </c>
      <c r="E93" s="67" t="str">
        <f ca="1">IF(SUM('grunds. zuwendungsf. Ausgaben'!L46:OFFSET('grunds. zuwendungsf. Ausgaben'!L46,0,$M$4))=0,"",SUM('grunds. zuwendungsf. Ausgaben'!L46:OFFSET('grunds. zuwendungsf. Ausgaben'!L46,0,$M$4)))</f>
        <v/>
      </c>
      <c r="F93" s="68" t="str">
        <f ca="1">IF(IF($M$4&lt;13,OFFSET('grunds. zuwendungsf. Ausgaben'!M46,0,$M$4),)=0,"",IF($M$4&lt;13,OFFSET('grunds. zuwendungsf. Ausgaben'!M46,0,$M$4),))</f>
        <v/>
      </c>
      <c r="G93" s="67" t="str">
        <f ca="1">IF(IF($M$4&lt;12,OFFSET('grunds. zuwendungsf. Ausgaben'!N46,0,$M$4),)=0,"",IF($M$4&lt;12,OFFSET('grunds. zuwendungsf. Ausgaben'!N46,0,$M$4),))</f>
        <v/>
      </c>
      <c r="H93" s="67" t="str">
        <f ca="1">IF(IF($M$4&lt;11,OFFSET('grunds. zuwendungsf. Ausgaben'!O46,0,$M$4),)=0,"",IF($M$4&lt;11,OFFSET('grunds. zuwendungsf. Ausgaben'!O46,0,$M$4),))</f>
        <v/>
      </c>
      <c r="I93" s="67" t="str">
        <f ca="1">IF(IF($M$4&lt;10,OFFSET('grunds. zuwendungsf. Ausgaben'!P46,0,$M$4),)=0,"",IF($M$4&lt;10,OFFSET('grunds. zuwendungsf. Ausgaben'!P46,0,$M$4),))</f>
        <v/>
      </c>
      <c r="J93" s="67" t="str">
        <f ca="1">IF(IF($M$4&lt;9,OFFSET('grunds. zuwendungsf. Ausgaben'!Q46,0,$M$4),)=0,"",IF($M$4&lt;9,OFFSET('grunds. zuwendungsf. Ausgaben'!Q46,0,$M$4),))</f>
        <v/>
      </c>
      <c r="K93" s="69" t="str">
        <f ca="1">IF(IF($M$4&lt;8,SUM(OFFSET('grunds. zuwendungsf. Ausgaben'!R46,0,$M$4):'grunds. zuwendungsf. Ausgaben'!Y46),0)=0,"",IF($M$4&lt;8,SUM(OFFSET('grunds. zuwendungsf. Ausgaben'!R46,0,$M$4):'grunds. zuwendungsf. Ausgaben'!Y46),0))</f>
        <v/>
      </c>
      <c r="L93" s="62" t="str">
        <f>IF('grunds. zuwendungsf. Ausgaben'!D46="","",'grunds. zuwendungsf. Ausgaben'!D46)</f>
        <v/>
      </c>
      <c r="M93" s="63" t="str">
        <f>IF('grunds. zuwendungsf. Ausgaben'!E46="","",'grunds. zuwendungsf. Ausgaben'!E46)</f>
        <v/>
      </c>
      <c r="N93" s="63" t="str">
        <f>IF('grunds. zuwendungsf. Ausgaben'!F46="","",'grunds. zuwendungsf. Ausgaben'!F46)</f>
        <v/>
      </c>
      <c r="O93" s="64" t="str">
        <f>IF('grunds. zuwendungsf. Ausgaben'!G46="","",'grunds. zuwendungsf. Ausgaben'!G46)</f>
        <v/>
      </c>
      <c r="P93" s="249" t="str">
        <f>IF('grunds. zuwendungsf. Ausgaben'!H46="","",'grunds. zuwendungsf. Ausgaben'!H46)</f>
        <v/>
      </c>
      <c r="Q93" s="250" t="str">
        <f>IF('grunds. zuwendungsf. Ausgaben'!AA46="","",'grunds. zuwendungsf. Ausgaben'!AA46)</f>
        <v/>
      </c>
      <c r="R93" s="251" t="str">
        <f>IF('grunds. zuwendungsf. Ausgaben'!AB46="","",'grunds. zuwendungsf. Ausgaben'!AB46)</f>
        <v/>
      </c>
      <c r="S93" s="255" t="str">
        <f>IF('grunds. zuwendungsf. Ausgaben'!AC46="","",'grunds. zuwendungsf. Ausgaben'!AC46)</f>
        <v/>
      </c>
    </row>
    <row r="94" spans="1:19" ht="18" customHeight="1">
      <c r="A94" s="44">
        <v>39</v>
      </c>
      <c r="B94" s="58" t="str">
        <f>IF('grunds. zuwendungsf. Ausgaben'!B47="","",'grunds. zuwendungsf. Ausgaben'!B47)</f>
        <v/>
      </c>
      <c r="C94" s="56" t="str">
        <f>IF('grunds. zuwendungsf. Ausgaben'!C47="","",'grunds. zuwendungsf. Ausgaben'!C47)</f>
        <v/>
      </c>
      <c r="D94" s="66">
        <f ca="1">SUM(Zuw_Ausgaben_KuF[[#This Row],[E]:[K]])</f>
        <v>0</v>
      </c>
      <c r="E94" s="67" t="str">
        <f ca="1">IF(SUM('grunds. zuwendungsf. Ausgaben'!L47:OFFSET('grunds. zuwendungsf. Ausgaben'!L47,0,$M$4))=0,"",SUM('grunds. zuwendungsf. Ausgaben'!L47:OFFSET('grunds. zuwendungsf. Ausgaben'!L47,0,$M$4)))</f>
        <v/>
      </c>
      <c r="F94" s="68" t="str">
        <f ca="1">IF(IF($M$4&lt;13,OFFSET('grunds. zuwendungsf. Ausgaben'!M47,0,$M$4),)=0,"",IF($M$4&lt;13,OFFSET('grunds. zuwendungsf. Ausgaben'!M47,0,$M$4),))</f>
        <v/>
      </c>
      <c r="G94" s="67" t="str">
        <f ca="1">IF(IF($M$4&lt;12,OFFSET('grunds. zuwendungsf. Ausgaben'!N47,0,$M$4),)=0,"",IF($M$4&lt;12,OFFSET('grunds. zuwendungsf. Ausgaben'!N47,0,$M$4),))</f>
        <v/>
      </c>
      <c r="H94" s="67" t="str">
        <f ca="1">IF(IF($M$4&lt;11,OFFSET('grunds. zuwendungsf. Ausgaben'!O47,0,$M$4),)=0,"",IF($M$4&lt;11,OFFSET('grunds. zuwendungsf. Ausgaben'!O47,0,$M$4),))</f>
        <v/>
      </c>
      <c r="I94" s="67" t="str">
        <f ca="1">IF(IF($M$4&lt;10,OFFSET('grunds. zuwendungsf. Ausgaben'!P47,0,$M$4),)=0,"",IF($M$4&lt;10,OFFSET('grunds. zuwendungsf. Ausgaben'!P47,0,$M$4),))</f>
        <v/>
      </c>
      <c r="J94" s="67" t="str">
        <f ca="1">IF(IF($M$4&lt;9,OFFSET('grunds. zuwendungsf. Ausgaben'!Q47,0,$M$4),)=0,"",IF($M$4&lt;9,OFFSET('grunds. zuwendungsf. Ausgaben'!Q47,0,$M$4),))</f>
        <v/>
      </c>
      <c r="K94" s="69" t="str">
        <f ca="1">IF(IF($M$4&lt;8,SUM(OFFSET('grunds. zuwendungsf. Ausgaben'!R47,0,$M$4):'grunds. zuwendungsf. Ausgaben'!Y47),0)=0,"",IF($M$4&lt;8,SUM(OFFSET('grunds. zuwendungsf. Ausgaben'!R47,0,$M$4):'grunds. zuwendungsf. Ausgaben'!Y47),0))</f>
        <v/>
      </c>
      <c r="L94" s="62" t="str">
        <f>IF('grunds. zuwendungsf. Ausgaben'!D47="","",'grunds. zuwendungsf. Ausgaben'!D47)</f>
        <v/>
      </c>
      <c r="M94" s="63" t="str">
        <f>IF('grunds. zuwendungsf. Ausgaben'!E47="","",'grunds. zuwendungsf. Ausgaben'!E47)</f>
        <v/>
      </c>
      <c r="N94" s="63" t="str">
        <f>IF('grunds. zuwendungsf. Ausgaben'!F47="","",'grunds. zuwendungsf. Ausgaben'!F47)</f>
        <v/>
      </c>
      <c r="O94" s="64" t="str">
        <f>IF('grunds. zuwendungsf. Ausgaben'!G47="","",'grunds. zuwendungsf. Ausgaben'!G47)</f>
        <v/>
      </c>
      <c r="P94" s="249" t="str">
        <f>IF('grunds. zuwendungsf. Ausgaben'!H47="","",'grunds. zuwendungsf. Ausgaben'!H47)</f>
        <v/>
      </c>
      <c r="Q94" s="250" t="str">
        <f>IF('grunds. zuwendungsf. Ausgaben'!AA47="","",'grunds. zuwendungsf. Ausgaben'!AA47)</f>
        <v/>
      </c>
      <c r="R94" s="251" t="str">
        <f>IF('grunds. zuwendungsf. Ausgaben'!AB47="","",'grunds. zuwendungsf. Ausgaben'!AB47)</f>
        <v/>
      </c>
      <c r="S94" s="255" t="str">
        <f>IF('grunds. zuwendungsf. Ausgaben'!AC47="","",'grunds. zuwendungsf. Ausgaben'!AC47)</f>
        <v/>
      </c>
    </row>
    <row r="95" spans="1:19" ht="18" customHeight="1">
      <c r="A95" s="44">
        <v>40</v>
      </c>
      <c r="B95" s="58" t="str">
        <f>IF('grunds. zuwendungsf. Ausgaben'!B48="","",'grunds. zuwendungsf. Ausgaben'!B48)</f>
        <v/>
      </c>
      <c r="C95" s="56" t="str">
        <f>IF('grunds. zuwendungsf. Ausgaben'!C48="","",'grunds. zuwendungsf. Ausgaben'!C48)</f>
        <v/>
      </c>
      <c r="D95" s="66">
        <f ca="1">SUM(Zuw_Ausgaben_KuF[[#This Row],[E]:[K]])</f>
        <v>0</v>
      </c>
      <c r="E95" s="67" t="str">
        <f ca="1">IF(SUM('grunds. zuwendungsf. Ausgaben'!L48:OFFSET('grunds. zuwendungsf. Ausgaben'!L48,0,$M$4))=0,"",SUM('grunds. zuwendungsf. Ausgaben'!L48:OFFSET('grunds. zuwendungsf. Ausgaben'!L48,0,$M$4)))</f>
        <v/>
      </c>
      <c r="F95" s="68" t="str">
        <f ca="1">IF(IF($M$4&lt;13,OFFSET('grunds. zuwendungsf. Ausgaben'!M48,0,$M$4),)=0,"",IF($M$4&lt;13,OFFSET('grunds. zuwendungsf. Ausgaben'!M48,0,$M$4),))</f>
        <v/>
      </c>
      <c r="G95" s="67" t="str">
        <f ca="1">IF(IF($M$4&lt;12,OFFSET('grunds. zuwendungsf. Ausgaben'!N48,0,$M$4),)=0,"",IF($M$4&lt;12,OFFSET('grunds. zuwendungsf. Ausgaben'!N48,0,$M$4),))</f>
        <v/>
      </c>
      <c r="H95" s="67" t="str">
        <f ca="1">IF(IF($M$4&lt;11,OFFSET('grunds. zuwendungsf. Ausgaben'!O48,0,$M$4),)=0,"",IF($M$4&lt;11,OFFSET('grunds. zuwendungsf. Ausgaben'!O48,0,$M$4),))</f>
        <v/>
      </c>
      <c r="I95" s="67" t="str">
        <f ca="1">IF(IF($M$4&lt;10,OFFSET('grunds. zuwendungsf. Ausgaben'!P48,0,$M$4),)=0,"",IF($M$4&lt;10,OFFSET('grunds. zuwendungsf. Ausgaben'!P48,0,$M$4),))</f>
        <v/>
      </c>
      <c r="J95" s="67" t="str">
        <f ca="1">IF(IF($M$4&lt;9,OFFSET('grunds. zuwendungsf. Ausgaben'!Q48,0,$M$4),)=0,"",IF($M$4&lt;9,OFFSET('grunds. zuwendungsf. Ausgaben'!Q48,0,$M$4),))</f>
        <v/>
      </c>
      <c r="K95" s="69" t="str">
        <f ca="1">IF(IF($M$4&lt;8,SUM(OFFSET('grunds. zuwendungsf. Ausgaben'!R48,0,$M$4):'grunds. zuwendungsf. Ausgaben'!Y48),0)=0,"",IF($M$4&lt;8,SUM(OFFSET('grunds. zuwendungsf. Ausgaben'!R48,0,$M$4):'grunds. zuwendungsf. Ausgaben'!Y48),0))</f>
        <v/>
      </c>
      <c r="L95" s="62" t="str">
        <f>IF('grunds. zuwendungsf. Ausgaben'!D48="","",'grunds. zuwendungsf. Ausgaben'!D48)</f>
        <v/>
      </c>
      <c r="M95" s="63" t="str">
        <f>IF('grunds. zuwendungsf. Ausgaben'!E48="","",'grunds. zuwendungsf. Ausgaben'!E48)</f>
        <v/>
      </c>
      <c r="N95" s="63" t="str">
        <f>IF('grunds. zuwendungsf. Ausgaben'!F48="","",'grunds. zuwendungsf. Ausgaben'!F48)</f>
        <v/>
      </c>
      <c r="O95" s="64" t="str">
        <f>IF('grunds. zuwendungsf. Ausgaben'!G48="","",'grunds. zuwendungsf. Ausgaben'!G48)</f>
        <v/>
      </c>
      <c r="P95" s="249" t="str">
        <f>IF('grunds. zuwendungsf. Ausgaben'!H48="","",'grunds. zuwendungsf. Ausgaben'!H48)</f>
        <v/>
      </c>
      <c r="Q95" s="250" t="str">
        <f>IF('grunds. zuwendungsf. Ausgaben'!AA48="","",'grunds. zuwendungsf. Ausgaben'!AA48)</f>
        <v/>
      </c>
      <c r="R95" s="251" t="str">
        <f>IF('grunds. zuwendungsf. Ausgaben'!AB48="","",'grunds. zuwendungsf. Ausgaben'!AB48)</f>
        <v/>
      </c>
      <c r="S95" s="255" t="str">
        <f>IF('grunds. zuwendungsf. Ausgaben'!AC48="","",'grunds. zuwendungsf. Ausgaben'!AC48)</f>
        <v/>
      </c>
    </row>
    <row r="96" spans="1:19" ht="18" customHeight="1">
      <c r="A96" s="44">
        <v>41</v>
      </c>
      <c r="B96" s="58" t="str">
        <f>IF('grunds. zuwendungsf. Ausgaben'!B49="","",'grunds. zuwendungsf. Ausgaben'!B49)</f>
        <v/>
      </c>
      <c r="C96" s="56" t="str">
        <f>IF('grunds. zuwendungsf. Ausgaben'!C49="","",'grunds. zuwendungsf. Ausgaben'!C49)</f>
        <v/>
      </c>
      <c r="D96" s="66">
        <f ca="1">SUM(Zuw_Ausgaben_KuF[[#This Row],[E]:[K]])</f>
        <v>0</v>
      </c>
      <c r="E96" s="67" t="str">
        <f ca="1">IF(SUM('grunds. zuwendungsf. Ausgaben'!L49:OFFSET('grunds. zuwendungsf. Ausgaben'!L49,0,$M$4))=0,"",SUM('grunds. zuwendungsf. Ausgaben'!L49:OFFSET('grunds. zuwendungsf. Ausgaben'!L49,0,$M$4)))</f>
        <v/>
      </c>
      <c r="F96" s="68" t="str">
        <f ca="1">IF(IF($M$4&lt;13,OFFSET('grunds. zuwendungsf. Ausgaben'!M49,0,$M$4),)=0,"",IF($M$4&lt;13,OFFSET('grunds. zuwendungsf. Ausgaben'!M49,0,$M$4),))</f>
        <v/>
      </c>
      <c r="G96" s="67" t="str">
        <f ca="1">IF(IF($M$4&lt;12,OFFSET('grunds. zuwendungsf. Ausgaben'!N49,0,$M$4),)=0,"",IF($M$4&lt;12,OFFSET('grunds. zuwendungsf. Ausgaben'!N49,0,$M$4),))</f>
        <v/>
      </c>
      <c r="H96" s="67" t="str">
        <f ca="1">IF(IF($M$4&lt;11,OFFSET('grunds. zuwendungsf. Ausgaben'!O49,0,$M$4),)=0,"",IF($M$4&lt;11,OFFSET('grunds. zuwendungsf. Ausgaben'!O49,0,$M$4),))</f>
        <v/>
      </c>
      <c r="I96" s="67" t="str">
        <f ca="1">IF(IF($M$4&lt;10,OFFSET('grunds. zuwendungsf. Ausgaben'!P49,0,$M$4),)=0,"",IF($M$4&lt;10,OFFSET('grunds. zuwendungsf. Ausgaben'!P49,0,$M$4),))</f>
        <v/>
      </c>
      <c r="J96" s="67" t="str">
        <f ca="1">IF(IF($M$4&lt;9,OFFSET('grunds. zuwendungsf. Ausgaben'!Q49,0,$M$4),)=0,"",IF($M$4&lt;9,OFFSET('grunds. zuwendungsf. Ausgaben'!Q49,0,$M$4),))</f>
        <v/>
      </c>
      <c r="K96" s="69" t="str">
        <f ca="1">IF(IF($M$4&lt;8,SUM(OFFSET('grunds. zuwendungsf. Ausgaben'!R49,0,$M$4):'grunds. zuwendungsf. Ausgaben'!Y49),0)=0,"",IF($M$4&lt;8,SUM(OFFSET('grunds. zuwendungsf. Ausgaben'!R49,0,$M$4):'grunds. zuwendungsf. Ausgaben'!Y49),0))</f>
        <v/>
      </c>
      <c r="L96" s="62" t="str">
        <f>IF('grunds. zuwendungsf. Ausgaben'!D49="","",'grunds. zuwendungsf. Ausgaben'!D49)</f>
        <v/>
      </c>
      <c r="M96" s="63" t="str">
        <f>IF('grunds. zuwendungsf. Ausgaben'!E49="","",'grunds. zuwendungsf. Ausgaben'!E49)</f>
        <v/>
      </c>
      <c r="N96" s="63" t="str">
        <f>IF('grunds. zuwendungsf. Ausgaben'!F49="","",'grunds. zuwendungsf. Ausgaben'!F49)</f>
        <v/>
      </c>
      <c r="O96" s="64" t="str">
        <f>IF('grunds. zuwendungsf. Ausgaben'!G49="","",'grunds. zuwendungsf. Ausgaben'!G49)</f>
        <v/>
      </c>
      <c r="P96" s="249" t="str">
        <f>IF('grunds. zuwendungsf. Ausgaben'!H49="","",'grunds. zuwendungsf. Ausgaben'!H49)</f>
        <v/>
      </c>
      <c r="Q96" s="250" t="str">
        <f>IF('grunds. zuwendungsf. Ausgaben'!AA49="","",'grunds. zuwendungsf. Ausgaben'!AA49)</f>
        <v/>
      </c>
      <c r="R96" s="251" t="str">
        <f>IF('grunds. zuwendungsf. Ausgaben'!AB49="","",'grunds. zuwendungsf. Ausgaben'!AB49)</f>
        <v/>
      </c>
      <c r="S96" s="255" t="str">
        <f>IF('grunds. zuwendungsf. Ausgaben'!AC49="","",'grunds. zuwendungsf. Ausgaben'!AC49)</f>
        <v/>
      </c>
    </row>
    <row r="97" spans="1:19" ht="18" customHeight="1">
      <c r="A97" s="44">
        <v>42</v>
      </c>
      <c r="B97" s="58" t="str">
        <f>IF('grunds. zuwendungsf. Ausgaben'!B50="","",'grunds. zuwendungsf. Ausgaben'!B50)</f>
        <v/>
      </c>
      <c r="C97" s="56" t="str">
        <f>IF('grunds. zuwendungsf. Ausgaben'!C50="","",'grunds. zuwendungsf. Ausgaben'!C50)</f>
        <v/>
      </c>
      <c r="D97" s="66">
        <f ca="1">SUM(Zuw_Ausgaben_KuF[[#This Row],[E]:[K]])</f>
        <v>0</v>
      </c>
      <c r="E97" s="67" t="str">
        <f ca="1">IF(SUM('grunds. zuwendungsf. Ausgaben'!L50:OFFSET('grunds. zuwendungsf. Ausgaben'!L50,0,$M$4))=0,"",SUM('grunds. zuwendungsf. Ausgaben'!L50:OFFSET('grunds. zuwendungsf. Ausgaben'!L50,0,$M$4)))</f>
        <v/>
      </c>
      <c r="F97" s="68" t="str">
        <f ca="1">IF(IF($M$4&lt;13,OFFSET('grunds. zuwendungsf. Ausgaben'!M50,0,$M$4),)=0,"",IF($M$4&lt;13,OFFSET('grunds. zuwendungsf. Ausgaben'!M50,0,$M$4),))</f>
        <v/>
      </c>
      <c r="G97" s="67" t="str">
        <f ca="1">IF(IF($M$4&lt;12,OFFSET('grunds. zuwendungsf. Ausgaben'!N50,0,$M$4),)=0,"",IF($M$4&lt;12,OFFSET('grunds. zuwendungsf. Ausgaben'!N50,0,$M$4),))</f>
        <v/>
      </c>
      <c r="H97" s="67" t="str">
        <f ca="1">IF(IF($M$4&lt;11,OFFSET('grunds. zuwendungsf. Ausgaben'!O50,0,$M$4),)=0,"",IF($M$4&lt;11,OFFSET('grunds. zuwendungsf. Ausgaben'!O50,0,$M$4),))</f>
        <v/>
      </c>
      <c r="I97" s="67" t="str">
        <f ca="1">IF(IF($M$4&lt;10,OFFSET('grunds. zuwendungsf. Ausgaben'!P50,0,$M$4),)=0,"",IF($M$4&lt;10,OFFSET('grunds. zuwendungsf. Ausgaben'!P50,0,$M$4),))</f>
        <v/>
      </c>
      <c r="J97" s="67" t="str">
        <f ca="1">IF(IF($M$4&lt;9,OFFSET('grunds. zuwendungsf. Ausgaben'!Q50,0,$M$4),)=0,"",IF($M$4&lt;9,OFFSET('grunds. zuwendungsf. Ausgaben'!Q50,0,$M$4),))</f>
        <v/>
      </c>
      <c r="K97" s="69" t="str">
        <f ca="1">IF(IF($M$4&lt;8,SUM(OFFSET('grunds. zuwendungsf. Ausgaben'!R50,0,$M$4):'grunds. zuwendungsf. Ausgaben'!Y50),0)=0,"",IF($M$4&lt;8,SUM(OFFSET('grunds. zuwendungsf. Ausgaben'!R50,0,$M$4):'grunds. zuwendungsf. Ausgaben'!Y50),0))</f>
        <v/>
      </c>
      <c r="L97" s="62" t="str">
        <f>IF('grunds. zuwendungsf. Ausgaben'!D50="","",'grunds. zuwendungsf. Ausgaben'!D50)</f>
        <v/>
      </c>
      <c r="M97" s="63" t="str">
        <f>IF('grunds. zuwendungsf. Ausgaben'!E50="","",'grunds. zuwendungsf. Ausgaben'!E50)</f>
        <v/>
      </c>
      <c r="N97" s="63" t="str">
        <f>IF('grunds. zuwendungsf. Ausgaben'!F50="","",'grunds. zuwendungsf. Ausgaben'!F50)</f>
        <v/>
      </c>
      <c r="O97" s="64" t="str">
        <f>IF('grunds. zuwendungsf. Ausgaben'!G50="","",'grunds. zuwendungsf. Ausgaben'!G50)</f>
        <v/>
      </c>
      <c r="P97" s="249" t="str">
        <f>IF('grunds. zuwendungsf. Ausgaben'!H50="","",'grunds. zuwendungsf. Ausgaben'!H50)</f>
        <v/>
      </c>
      <c r="Q97" s="250" t="str">
        <f>IF('grunds. zuwendungsf. Ausgaben'!AA50="","",'grunds. zuwendungsf. Ausgaben'!AA50)</f>
        <v/>
      </c>
      <c r="R97" s="251" t="str">
        <f>IF('grunds. zuwendungsf. Ausgaben'!AB50="","",'grunds. zuwendungsf. Ausgaben'!AB50)</f>
        <v/>
      </c>
      <c r="S97" s="255" t="str">
        <f>IF('grunds. zuwendungsf. Ausgaben'!AC50="","",'grunds. zuwendungsf. Ausgaben'!AC50)</f>
        <v/>
      </c>
    </row>
    <row r="98" spans="1:19" ht="18" customHeight="1">
      <c r="A98" s="44">
        <v>43</v>
      </c>
      <c r="B98" s="58" t="str">
        <f>IF('grunds. zuwendungsf. Ausgaben'!B51="","",'grunds. zuwendungsf. Ausgaben'!B51)</f>
        <v/>
      </c>
      <c r="C98" s="56" t="str">
        <f>IF('grunds. zuwendungsf. Ausgaben'!C51="","",'grunds. zuwendungsf. Ausgaben'!C51)</f>
        <v/>
      </c>
      <c r="D98" s="66">
        <f ca="1">SUM(Zuw_Ausgaben_KuF[[#This Row],[E]:[K]])</f>
        <v>0</v>
      </c>
      <c r="E98" s="67" t="str">
        <f ca="1">IF(SUM('grunds. zuwendungsf. Ausgaben'!L51:OFFSET('grunds. zuwendungsf. Ausgaben'!L51,0,$M$4))=0,"",SUM('grunds. zuwendungsf. Ausgaben'!L51:OFFSET('grunds. zuwendungsf. Ausgaben'!L51,0,$M$4)))</f>
        <v/>
      </c>
      <c r="F98" s="68" t="str">
        <f ca="1">IF(IF($M$4&lt;13,OFFSET('grunds. zuwendungsf. Ausgaben'!M51,0,$M$4),)=0,"",IF($M$4&lt;13,OFFSET('grunds. zuwendungsf. Ausgaben'!M51,0,$M$4),))</f>
        <v/>
      </c>
      <c r="G98" s="67" t="str">
        <f ca="1">IF(IF($M$4&lt;12,OFFSET('grunds. zuwendungsf. Ausgaben'!N51,0,$M$4),)=0,"",IF($M$4&lt;12,OFFSET('grunds. zuwendungsf. Ausgaben'!N51,0,$M$4),))</f>
        <v/>
      </c>
      <c r="H98" s="67" t="str">
        <f ca="1">IF(IF($M$4&lt;11,OFFSET('grunds. zuwendungsf. Ausgaben'!O51,0,$M$4),)=0,"",IF($M$4&lt;11,OFFSET('grunds. zuwendungsf. Ausgaben'!O51,0,$M$4),))</f>
        <v/>
      </c>
      <c r="I98" s="67" t="str">
        <f ca="1">IF(IF($M$4&lt;10,OFFSET('grunds. zuwendungsf. Ausgaben'!P51,0,$M$4),)=0,"",IF($M$4&lt;10,OFFSET('grunds. zuwendungsf. Ausgaben'!P51,0,$M$4),))</f>
        <v/>
      </c>
      <c r="J98" s="67" t="str">
        <f ca="1">IF(IF($M$4&lt;9,OFFSET('grunds. zuwendungsf. Ausgaben'!Q51,0,$M$4),)=0,"",IF($M$4&lt;9,OFFSET('grunds. zuwendungsf. Ausgaben'!Q51,0,$M$4),))</f>
        <v/>
      </c>
      <c r="K98" s="69" t="str">
        <f ca="1">IF(IF($M$4&lt;8,SUM(OFFSET('grunds. zuwendungsf. Ausgaben'!R51,0,$M$4):'grunds. zuwendungsf. Ausgaben'!Y51),0)=0,"",IF($M$4&lt;8,SUM(OFFSET('grunds. zuwendungsf. Ausgaben'!R51,0,$M$4):'grunds. zuwendungsf. Ausgaben'!Y51),0))</f>
        <v/>
      </c>
      <c r="L98" s="62" t="str">
        <f>IF('grunds. zuwendungsf. Ausgaben'!D51="","",'grunds. zuwendungsf. Ausgaben'!D51)</f>
        <v/>
      </c>
      <c r="M98" s="63" t="str">
        <f>IF('grunds. zuwendungsf. Ausgaben'!E51="","",'grunds. zuwendungsf. Ausgaben'!E51)</f>
        <v/>
      </c>
      <c r="N98" s="63" t="str">
        <f>IF('grunds. zuwendungsf. Ausgaben'!F51="","",'grunds. zuwendungsf. Ausgaben'!F51)</f>
        <v/>
      </c>
      <c r="O98" s="64" t="str">
        <f>IF('grunds. zuwendungsf. Ausgaben'!G51="","",'grunds. zuwendungsf. Ausgaben'!G51)</f>
        <v/>
      </c>
      <c r="P98" s="249" t="str">
        <f>IF('grunds. zuwendungsf. Ausgaben'!H51="","",'grunds. zuwendungsf. Ausgaben'!H51)</f>
        <v/>
      </c>
      <c r="Q98" s="250" t="str">
        <f>IF('grunds. zuwendungsf. Ausgaben'!AA51="","",'grunds. zuwendungsf. Ausgaben'!AA51)</f>
        <v/>
      </c>
      <c r="R98" s="251" t="str">
        <f>IF('grunds. zuwendungsf. Ausgaben'!AB51="","",'grunds. zuwendungsf. Ausgaben'!AB51)</f>
        <v/>
      </c>
      <c r="S98" s="255" t="str">
        <f>IF('grunds. zuwendungsf. Ausgaben'!AC51="","",'grunds. zuwendungsf. Ausgaben'!AC51)</f>
        <v/>
      </c>
    </row>
    <row r="99" spans="1:19" ht="18" customHeight="1">
      <c r="A99" s="44">
        <v>44</v>
      </c>
      <c r="B99" s="58" t="str">
        <f>IF('grunds. zuwendungsf. Ausgaben'!B52="","",'grunds. zuwendungsf. Ausgaben'!B52)</f>
        <v/>
      </c>
      <c r="C99" s="56" t="str">
        <f>IF('grunds. zuwendungsf. Ausgaben'!C52="","",'grunds. zuwendungsf. Ausgaben'!C52)</f>
        <v/>
      </c>
      <c r="D99" s="66">
        <f ca="1">SUM(Zuw_Ausgaben_KuF[[#This Row],[E]:[K]])</f>
        <v>0</v>
      </c>
      <c r="E99" s="67" t="str">
        <f ca="1">IF(SUM('grunds. zuwendungsf. Ausgaben'!L52:OFFSET('grunds. zuwendungsf. Ausgaben'!L52,0,$M$4))=0,"",SUM('grunds. zuwendungsf. Ausgaben'!L52:OFFSET('grunds. zuwendungsf. Ausgaben'!L52,0,$M$4)))</f>
        <v/>
      </c>
      <c r="F99" s="68" t="str">
        <f ca="1">IF(IF($M$4&lt;13,OFFSET('grunds. zuwendungsf. Ausgaben'!M52,0,$M$4),)=0,"",IF($M$4&lt;13,OFFSET('grunds. zuwendungsf. Ausgaben'!M52,0,$M$4),))</f>
        <v/>
      </c>
      <c r="G99" s="67" t="str">
        <f ca="1">IF(IF($M$4&lt;12,OFFSET('grunds. zuwendungsf. Ausgaben'!N52,0,$M$4),)=0,"",IF($M$4&lt;12,OFFSET('grunds. zuwendungsf. Ausgaben'!N52,0,$M$4),))</f>
        <v/>
      </c>
      <c r="H99" s="67" t="str">
        <f ca="1">IF(IF($M$4&lt;11,OFFSET('grunds. zuwendungsf. Ausgaben'!O52,0,$M$4),)=0,"",IF($M$4&lt;11,OFFSET('grunds. zuwendungsf. Ausgaben'!O52,0,$M$4),))</f>
        <v/>
      </c>
      <c r="I99" s="67" t="str">
        <f ca="1">IF(IF($M$4&lt;10,OFFSET('grunds. zuwendungsf. Ausgaben'!P52,0,$M$4),)=0,"",IF($M$4&lt;10,OFFSET('grunds. zuwendungsf. Ausgaben'!P52,0,$M$4),))</f>
        <v/>
      </c>
      <c r="J99" s="67" t="str">
        <f ca="1">IF(IF($M$4&lt;9,OFFSET('grunds. zuwendungsf. Ausgaben'!Q52,0,$M$4),)=0,"",IF($M$4&lt;9,OFFSET('grunds. zuwendungsf. Ausgaben'!Q52,0,$M$4),))</f>
        <v/>
      </c>
      <c r="K99" s="69" t="str">
        <f ca="1">IF(IF($M$4&lt;8,SUM(OFFSET('grunds. zuwendungsf. Ausgaben'!R52,0,$M$4):'grunds. zuwendungsf. Ausgaben'!Y52),0)=0,"",IF($M$4&lt;8,SUM(OFFSET('grunds. zuwendungsf. Ausgaben'!R52,0,$M$4):'grunds. zuwendungsf. Ausgaben'!Y52),0))</f>
        <v/>
      </c>
      <c r="L99" s="62" t="str">
        <f>IF('grunds. zuwendungsf. Ausgaben'!D52="","",'grunds. zuwendungsf. Ausgaben'!D52)</f>
        <v/>
      </c>
      <c r="M99" s="63" t="str">
        <f>IF('grunds. zuwendungsf. Ausgaben'!E52="","",'grunds. zuwendungsf. Ausgaben'!E52)</f>
        <v/>
      </c>
      <c r="N99" s="63" t="str">
        <f>IF('grunds. zuwendungsf. Ausgaben'!F52="","",'grunds. zuwendungsf. Ausgaben'!F52)</f>
        <v/>
      </c>
      <c r="O99" s="64" t="str">
        <f>IF('grunds. zuwendungsf. Ausgaben'!G52="","",'grunds. zuwendungsf. Ausgaben'!G52)</f>
        <v/>
      </c>
      <c r="P99" s="249" t="str">
        <f>IF('grunds. zuwendungsf. Ausgaben'!H52="","",'grunds. zuwendungsf. Ausgaben'!H52)</f>
        <v/>
      </c>
      <c r="Q99" s="250" t="str">
        <f>IF('grunds. zuwendungsf. Ausgaben'!AA52="","",'grunds. zuwendungsf. Ausgaben'!AA52)</f>
        <v/>
      </c>
      <c r="R99" s="251" t="str">
        <f>IF('grunds. zuwendungsf. Ausgaben'!AB52="","",'grunds. zuwendungsf. Ausgaben'!AB52)</f>
        <v/>
      </c>
      <c r="S99" s="255" t="str">
        <f>IF('grunds. zuwendungsf. Ausgaben'!AC52="","",'grunds. zuwendungsf. Ausgaben'!AC52)</f>
        <v/>
      </c>
    </row>
    <row r="100" spans="1:19" ht="18" customHeight="1">
      <c r="A100" s="44">
        <v>45</v>
      </c>
      <c r="B100" s="58" t="str">
        <f>IF('grunds. zuwendungsf. Ausgaben'!B53="","",'grunds. zuwendungsf. Ausgaben'!B53)</f>
        <v/>
      </c>
      <c r="C100" s="56" t="str">
        <f>IF('grunds. zuwendungsf. Ausgaben'!C53="","",'grunds. zuwendungsf. Ausgaben'!C53)</f>
        <v/>
      </c>
      <c r="D100" s="66">
        <f ca="1">SUM(Zuw_Ausgaben_KuF[[#This Row],[E]:[K]])</f>
        <v>0</v>
      </c>
      <c r="E100" s="67" t="str">
        <f ca="1">IF(SUM('grunds. zuwendungsf. Ausgaben'!L53:OFFSET('grunds. zuwendungsf. Ausgaben'!L53,0,$M$4))=0,"",SUM('grunds. zuwendungsf. Ausgaben'!L53:OFFSET('grunds. zuwendungsf. Ausgaben'!L53,0,$M$4)))</f>
        <v/>
      </c>
      <c r="F100" s="68" t="str">
        <f ca="1">IF(IF($M$4&lt;13,OFFSET('grunds. zuwendungsf. Ausgaben'!M53,0,$M$4),)=0,"",IF($M$4&lt;13,OFFSET('grunds. zuwendungsf. Ausgaben'!M53,0,$M$4),))</f>
        <v/>
      </c>
      <c r="G100" s="67" t="str">
        <f ca="1">IF(IF($M$4&lt;12,OFFSET('grunds. zuwendungsf. Ausgaben'!N53,0,$M$4),)=0,"",IF($M$4&lt;12,OFFSET('grunds. zuwendungsf. Ausgaben'!N53,0,$M$4),))</f>
        <v/>
      </c>
      <c r="H100" s="67" t="str">
        <f ca="1">IF(IF($M$4&lt;11,OFFSET('grunds. zuwendungsf. Ausgaben'!O53,0,$M$4),)=0,"",IF($M$4&lt;11,OFFSET('grunds. zuwendungsf. Ausgaben'!O53,0,$M$4),))</f>
        <v/>
      </c>
      <c r="I100" s="67" t="str">
        <f ca="1">IF(IF($M$4&lt;10,OFFSET('grunds. zuwendungsf. Ausgaben'!P53,0,$M$4),)=0,"",IF($M$4&lt;10,OFFSET('grunds. zuwendungsf. Ausgaben'!P53,0,$M$4),))</f>
        <v/>
      </c>
      <c r="J100" s="67" t="str">
        <f ca="1">IF(IF($M$4&lt;9,OFFSET('grunds. zuwendungsf. Ausgaben'!Q53,0,$M$4),)=0,"",IF($M$4&lt;9,OFFSET('grunds. zuwendungsf. Ausgaben'!Q53,0,$M$4),))</f>
        <v/>
      </c>
      <c r="K100" s="69" t="str">
        <f ca="1">IF(IF($M$4&lt;8,SUM(OFFSET('grunds. zuwendungsf. Ausgaben'!R53,0,$M$4):'grunds. zuwendungsf. Ausgaben'!Y53),0)=0,"",IF($M$4&lt;8,SUM(OFFSET('grunds. zuwendungsf. Ausgaben'!R53,0,$M$4):'grunds. zuwendungsf. Ausgaben'!Y53),0))</f>
        <v/>
      </c>
      <c r="L100" s="62" t="str">
        <f>IF('grunds. zuwendungsf. Ausgaben'!D53="","",'grunds. zuwendungsf. Ausgaben'!D53)</f>
        <v/>
      </c>
      <c r="M100" s="63" t="str">
        <f>IF('grunds. zuwendungsf. Ausgaben'!E53="","",'grunds. zuwendungsf. Ausgaben'!E53)</f>
        <v/>
      </c>
      <c r="N100" s="63" t="str">
        <f>IF('grunds. zuwendungsf. Ausgaben'!F53="","",'grunds. zuwendungsf. Ausgaben'!F53)</f>
        <v/>
      </c>
      <c r="O100" s="64" t="str">
        <f>IF('grunds. zuwendungsf. Ausgaben'!G53="","",'grunds. zuwendungsf. Ausgaben'!G53)</f>
        <v/>
      </c>
      <c r="P100" s="249" t="str">
        <f>IF('grunds. zuwendungsf. Ausgaben'!H53="","",'grunds. zuwendungsf. Ausgaben'!H53)</f>
        <v/>
      </c>
      <c r="Q100" s="250" t="str">
        <f>IF('grunds. zuwendungsf. Ausgaben'!AA53="","",'grunds. zuwendungsf. Ausgaben'!AA53)</f>
        <v/>
      </c>
      <c r="R100" s="251" t="str">
        <f>IF('grunds. zuwendungsf. Ausgaben'!AB53="","",'grunds. zuwendungsf. Ausgaben'!AB53)</f>
        <v/>
      </c>
      <c r="S100" s="255" t="str">
        <f>IF('grunds. zuwendungsf. Ausgaben'!AC53="","",'grunds. zuwendungsf. Ausgaben'!AC53)</f>
        <v/>
      </c>
    </row>
    <row r="101" spans="1:19" ht="18" customHeight="1">
      <c r="A101" s="44">
        <v>46</v>
      </c>
      <c r="B101" s="58" t="str">
        <f>IF('grunds. zuwendungsf. Ausgaben'!B54="","",'grunds. zuwendungsf. Ausgaben'!B54)</f>
        <v/>
      </c>
      <c r="C101" s="56" t="str">
        <f>IF('grunds. zuwendungsf. Ausgaben'!C54="","",'grunds. zuwendungsf. Ausgaben'!C54)</f>
        <v/>
      </c>
      <c r="D101" s="66">
        <f ca="1">SUM(Zuw_Ausgaben_KuF[[#This Row],[E]:[K]])</f>
        <v>0</v>
      </c>
      <c r="E101" s="67" t="str">
        <f ca="1">IF(SUM('grunds. zuwendungsf. Ausgaben'!L54:OFFSET('grunds. zuwendungsf. Ausgaben'!L54,0,$M$4))=0,"",SUM('grunds. zuwendungsf. Ausgaben'!L54:OFFSET('grunds. zuwendungsf. Ausgaben'!L54,0,$M$4)))</f>
        <v/>
      </c>
      <c r="F101" s="68" t="str">
        <f ca="1">IF(IF($M$4&lt;13,OFFSET('grunds. zuwendungsf. Ausgaben'!M54,0,$M$4),)=0,"",IF($M$4&lt;13,OFFSET('grunds. zuwendungsf. Ausgaben'!M54,0,$M$4),))</f>
        <v/>
      </c>
      <c r="G101" s="67" t="str">
        <f ca="1">IF(IF($M$4&lt;12,OFFSET('grunds. zuwendungsf. Ausgaben'!N54,0,$M$4),)=0,"",IF($M$4&lt;12,OFFSET('grunds. zuwendungsf. Ausgaben'!N54,0,$M$4),))</f>
        <v/>
      </c>
      <c r="H101" s="67" t="str">
        <f ca="1">IF(IF($M$4&lt;11,OFFSET('grunds. zuwendungsf. Ausgaben'!O54,0,$M$4),)=0,"",IF($M$4&lt;11,OFFSET('grunds. zuwendungsf. Ausgaben'!O54,0,$M$4),))</f>
        <v/>
      </c>
      <c r="I101" s="67" t="str">
        <f ca="1">IF(IF($M$4&lt;10,OFFSET('grunds. zuwendungsf. Ausgaben'!P54,0,$M$4),)=0,"",IF($M$4&lt;10,OFFSET('grunds. zuwendungsf. Ausgaben'!P54,0,$M$4),))</f>
        <v/>
      </c>
      <c r="J101" s="67" t="str">
        <f ca="1">IF(IF($M$4&lt;9,OFFSET('grunds. zuwendungsf. Ausgaben'!Q54,0,$M$4),)=0,"",IF($M$4&lt;9,OFFSET('grunds. zuwendungsf. Ausgaben'!Q54,0,$M$4),))</f>
        <v/>
      </c>
      <c r="K101" s="69" t="str">
        <f ca="1">IF(IF($M$4&lt;8,SUM(OFFSET('grunds. zuwendungsf. Ausgaben'!R54,0,$M$4):'grunds. zuwendungsf. Ausgaben'!Y54),0)=0,"",IF($M$4&lt;8,SUM(OFFSET('grunds. zuwendungsf. Ausgaben'!R54,0,$M$4):'grunds. zuwendungsf. Ausgaben'!Y54),0))</f>
        <v/>
      </c>
      <c r="L101" s="62" t="str">
        <f>IF('grunds. zuwendungsf. Ausgaben'!D54="","",'grunds. zuwendungsf. Ausgaben'!D54)</f>
        <v/>
      </c>
      <c r="M101" s="63" t="str">
        <f>IF('grunds. zuwendungsf. Ausgaben'!E54="","",'grunds. zuwendungsf. Ausgaben'!E54)</f>
        <v/>
      </c>
      <c r="N101" s="63" t="str">
        <f>IF('grunds. zuwendungsf. Ausgaben'!F54="","",'grunds. zuwendungsf. Ausgaben'!F54)</f>
        <v/>
      </c>
      <c r="O101" s="64" t="str">
        <f>IF('grunds. zuwendungsf. Ausgaben'!G54="","",'grunds. zuwendungsf. Ausgaben'!G54)</f>
        <v/>
      </c>
      <c r="P101" s="249" t="str">
        <f>IF('grunds. zuwendungsf. Ausgaben'!H54="","",'grunds. zuwendungsf. Ausgaben'!H54)</f>
        <v/>
      </c>
      <c r="Q101" s="250" t="str">
        <f>IF('grunds. zuwendungsf. Ausgaben'!AA54="","",'grunds. zuwendungsf. Ausgaben'!AA54)</f>
        <v/>
      </c>
      <c r="R101" s="251" t="str">
        <f>IF('grunds. zuwendungsf. Ausgaben'!AB54="","",'grunds. zuwendungsf. Ausgaben'!AB54)</f>
        <v/>
      </c>
      <c r="S101" s="255" t="str">
        <f>IF('grunds. zuwendungsf. Ausgaben'!AC54="","",'grunds. zuwendungsf. Ausgaben'!AC54)</f>
        <v/>
      </c>
    </row>
    <row r="102" spans="1:19" ht="18" customHeight="1">
      <c r="A102" s="44">
        <v>47</v>
      </c>
      <c r="B102" s="58" t="str">
        <f>IF('grunds. zuwendungsf. Ausgaben'!B55="","",'grunds. zuwendungsf. Ausgaben'!B55)</f>
        <v/>
      </c>
      <c r="C102" s="56" t="str">
        <f>IF('grunds. zuwendungsf. Ausgaben'!C55="","",'grunds. zuwendungsf. Ausgaben'!C55)</f>
        <v/>
      </c>
      <c r="D102" s="66">
        <f ca="1">SUM(Zuw_Ausgaben_KuF[[#This Row],[E]:[K]])</f>
        <v>0</v>
      </c>
      <c r="E102" s="67" t="str">
        <f ca="1">IF(SUM('grunds. zuwendungsf. Ausgaben'!L55:OFFSET('grunds. zuwendungsf. Ausgaben'!L55,0,$M$4))=0,"",SUM('grunds. zuwendungsf. Ausgaben'!L55:OFFSET('grunds. zuwendungsf. Ausgaben'!L55,0,$M$4)))</f>
        <v/>
      </c>
      <c r="F102" s="68" t="str">
        <f ca="1">IF(IF($M$4&lt;13,OFFSET('grunds. zuwendungsf. Ausgaben'!M55,0,$M$4),)=0,"",IF($M$4&lt;13,OFFSET('grunds. zuwendungsf. Ausgaben'!M55,0,$M$4),))</f>
        <v/>
      </c>
      <c r="G102" s="67" t="str">
        <f ca="1">IF(IF($M$4&lt;12,OFFSET('grunds. zuwendungsf. Ausgaben'!N55,0,$M$4),)=0,"",IF($M$4&lt;12,OFFSET('grunds. zuwendungsf. Ausgaben'!N55,0,$M$4),))</f>
        <v/>
      </c>
      <c r="H102" s="67" t="str">
        <f ca="1">IF(IF($M$4&lt;11,OFFSET('grunds. zuwendungsf. Ausgaben'!O55,0,$M$4),)=0,"",IF($M$4&lt;11,OFFSET('grunds. zuwendungsf. Ausgaben'!O55,0,$M$4),))</f>
        <v/>
      </c>
      <c r="I102" s="67" t="str">
        <f ca="1">IF(IF($M$4&lt;10,OFFSET('grunds. zuwendungsf. Ausgaben'!P55,0,$M$4),)=0,"",IF($M$4&lt;10,OFFSET('grunds. zuwendungsf. Ausgaben'!P55,0,$M$4),))</f>
        <v/>
      </c>
      <c r="J102" s="67" t="str">
        <f ca="1">IF(IF($M$4&lt;9,OFFSET('grunds. zuwendungsf. Ausgaben'!Q55,0,$M$4),)=0,"",IF($M$4&lt;9,OFFSET('grunds. zuwendungsf. Ausgaben'!Q55,0,$M$4),))</f>
        <v/>
      </c>
      <c r="K102" s="69" t="str">
        <f ca="1">IF(IF($M$4&lt;8,SUM(OFFSET('grunds. zuwendungsf. Ausgaben'!R55,0,$M$4):'grunds. zuwendungsf. Ausgaben'!Y55),0)=0,"",IF($M$4&lt;8,SUM(OFFSET('grunds. zuwendungsf. Ausgaben'!R55,0,$M$4):'grunds. zuwendungsf. Ausgaben'!Y55),0))</f>
        <v/>
      </c>
      <c r="L102" s="62" t="str">
        <f>IF('grunds. zuwendungsf. Ausgaben'!D55="","",'grunds. zuwendungsf. Ausgaben'!D55)</f>
        <v/>
      </c>
      <c r="M102" s="63" t="str">
        <f>IF('grunds. zuwendungsf. Ausgaben'!E55="","",'grunds. zuwendungsf. Ausgaben'!E55)</f>
        <v/>
      </c>
      <c r="N102" s="63" t="str">
        <f>IF('grunds. zuwendungsf. Ausgaben'!F55="","",'grunds. zuwendungsf. Ausgaben'!F55)</f>
        <v/>
      </c>
      <c r="O102" s="64" t="str">
        <f>IF('grunds. zuwendungsf. Ausgaben'!G55="","",'grunds. zuwendungsf. Ausgaben'!G55)</f>
        <v/>
      </c>
      <c r="P102" s="249" t="str">
        <f>IF('grunds. zuwendungsf. Ausgaben'!H55="","",'grunds. zuwendungsf. Ausgaben'!H55)</f>
        <v/>
      </c>
      <c r="Q102" s="250" t="str">
        <f>IF('grunds. zuwendungsf. Ausgaben'!AA55="","",'grunds. zuwendungsf. Ausgaben'!AA55)</f>
        <v/>
      </c>
      <c r="R102" s="251" t="str">
        <f>IF('grunds. zuwendungsf. Ausgaben'!AB55="","",'grunds. zuwendungsf. Ausgaben'!AB55)</f>
        <v/>
      </c>
      <c r="S102" s="255" t="str">
        <f>IF('grunds. zuwendungsf. Ausgaben'!AC55="","",'grunds. zuwendungsf. Ausgaben'!AC55)</f>
        <v/>
      </c>
    </row>
    <row r="103" spans="1:19" ht="18" customHeight="1">
      <c r="A103" s="44">
        <v>48</v>
      </c>
      <c r="B103" s="58" t="str">
        <f>IF('grunds. zuwendungsf. Ausgaben'!B56="","",'grunds. zuwendungsf. Ausgaben'!B56)</f>
        <v/>
      </c>
      <c r="C103" s="56" t="str">
        <f>IF('grunds. zuwendungsf. Ausgaben'!C56="","",'grunds. zuwendungsf. Ausgaben'!C56)</f>
        <v/>
      </c>
      <c r="D103" s="66">
        <f ca="1">SUM(Zuw_Ausgaben_KuF[[#This Row],[E]:[K]])</f>
        <v>0</v>
      </c>
      <c r="E103" s="67" t="str">
        <f ca="1">IF(SUM('grunds. zuwendungsf. Ausgaben'!L56:OFFSET('grunds. zuwendungsf. Ausgaben'!L56,0,$M$4))=0,"",SUM('grunds. zuwendungsf. Ausgaben'!L56:OFFSET('grunds. zuwendungsf. Ausgaben'!L56,0,$M$4)))</f>
        <v/>
      </c>
      <c r="F103" s="68" t="str">
        <f ca="1">IF(IF($M$4&lt;13,OFFSET('grunds. zuwendungsf. Ausgaben'!M56,0,$M$4),)=0,"",IF($M$4&lt;13,OFFSET('grunds. zuwendungsf. Ausgaben'!M56,0,$M$4),))</f>
        <v/>
      </c>
      <c r="G103" s="67" t="str">
        <f ca="1">IF(IF($M$4&lt;12,OFFSET('grunds. zuwendungsf. Ausgaben'!N56,0,$M$4),)=0,"",IF($M$4&lt;12,OFFSET('grunds. zuwendungsf. Ausgaben'!N56,0,$M$4),))</f>
        <v/>
      </c>
      <c r="H103" s="67" t="str">
        <f ca="1">IF(IF($M$4&lt;11,OFFSET('grunds. zuwendungsf. Ausgaben'!O56,0,$M$4),)=0,"",IF($M$4&lt;11,OFFSET('grunds. zuwendungsf. Ausgaben'!O56,0,$M$4),))</f>
        <v/>
      </c>
      <c r="I103" s="67" t="str">
        <f ca="1">IF(IF($M$4&lt;10,OFFSET('grunds. zuwendungsf. Ausgaben'!P56,0,$M$4),)=0,"",IF($M$4&lt;10,OFFSET('grunds. zuwendungsf. Ausgaben'!P56,0,$M$4),))</f>
        <v/>
      </c>
      <c r="J103" s="67" t="str">
        <f ca="1">IF(IF($M$4&lt;9,OFFSET('grunds. zuwendungsf. Ausgaben'!Q56,0,$M$4),)=0,"",IF($M$4&lt;9,OFFSET('grunds. zuwendungsf. Ausgaben'!Q56,0,$M$4),))</f>
        <v/>
      </c>
      <c r="K103" s="69" t="str">
        <f ca="1">IF(IF($M$4&lt;8,SUM(OFFSET('grunds. zuwendungsf. Ausgaben'!R56,0,$M$4):'grunds. zuwendungsf. Ausgaben'!Y56),0)=0,"",IF($M$4&lt;8,SUM(OFFSET('grunds. zuwendungsf. Ausgaben'!R56,0,$M$4):'grunds. zuwendungsf. Ausgaben'!Y56),0))</f>
        <v/>
      </c>
      <c r="L103" s="62" t="str">
        <f>IF('grunds. zuwendungsf. Ausgaben'!D56="","",'grunds. zuwendungsf. Ausgaben'!D56)</f>
        <v/>
      </c>
      <c r="M103" s="63" t="str">
        <f>IF('grunds. zuwendungsf. Ausgaben'!E56="","",'grunds. zuwendungsf. Ausgaben'!E56)</f>
        <v/>
      </c>
      <c r="N103" s="63" t="str">
        <f>IF('grunds. zuwendungsf. Ausgaben'!F56="","",'grunds. zuwendungsf. Ausgaben'!F56)</f>
        <v/>
      </c>
      <c r="O103" s="64" t="str">
        <f>IF('grunds. zuwendungsf. Ausgaben'!G56="","",'grunds. zuwendungsf. Ausgaben'!G56)</f>
        <v/>
      </c>
      <c r="P103" s="249" t="str">
        <f>IF('grunds. zuwendungsf. Ausgaben'!H56="","",'grunds. zuwendungsf. Ausgaben'!H56)</f>
        <v/>
      </c>
      <c r="Q103" s="250" t="str">
        <f>IF('grunds. zuwendungsf. Ausgaben'!AA56="","",'grunds. zuwendungsf. Ausgaben'!AA56)</f>
        <v/>
      </c>
      <c r="R103" s="251" t="str">
        <f>IF('grunds. zuwendungsf. Ausgaben'!AB56="","",'grunds. zuwendungsf. Ausgaben'!AB56)</f>
        <v/>
      </c>
      <c r="S103" s="255" t="str">
        <f>IF('grunds. zuwendungsf. Ausgaben'!AC56="","",'grunds. zuwendungsf. Ausgaben'!AC56)</f>
        <v/>
      </c>
    </row>
    <row r="104" spans="1:19" ht="18" customHeight="1">
      <c r="A104" s="44">
        <v>49</v>
      </c>
      <c r="B104" s="58" t="str">
        <f>IF('grunds. zuwendungsf. Ausgaben'!B57="","",'grunds. zuwendungsf. Ausgaben'!B57)</f>
        <v/>
      </c>
      <c r="C104" s="56" t="str">
        <f>IF('grunds. zuwendungsf. Ausgaben'!C57="","",'grunds. zuwendungsf. Ausgaben'!C57)</f>
        <v/>
      </c>
      <c r="D104" s="66">
        <f ca="1">SUM(Zuw_Ausgaben_KuF[[#This Row],[E]:[K]])</f>
        <v>0</v>
      </c>
      <c r="E104" s="67" t="str">
        <f ca="1">IF(SUM('grunds. zuwendungsf. Ausgaben'!L57:OFFSET('grunds. zuwendungsf. Ausgaben'!L57,0,$M$4))=0,"",SUM('grunds. zuwendungsf. Ausgaben'!L57:OFFSET('grunds. zuwendungsf. Ausgaben'!L57,0,$M$4)))</f>
        <v/>
      </c>
      <c r="F104" s="68" t="str">
        <f ca="1">IF(IF($M$4&lt;13,OFFSET('grunds. zuwendungsf. Ausgaben'!M57,0,$M$4),)=0,"",IF($M$4&lt;13,OFFSET('grunds. zuwendungsf. Ausgaben'!M57,0,$M$4),))</f>
        <v/>
      </c>
      <c r="G104" s="67" t="str">
        <f ca="1">IF(IF($M$4&lt;12,OFFSET('grunds. zuwendungsf. Ausgaben'!N57,0,$M$4),)=0,"",IF($M$4&lt;12,OFFSET('grunds. zuwendungsf. Ausgaben'!N57,0,$M$4),))</f>
        <v/>
      </c>
      <c r="H104" s="67" t="str">
        <f ca="1">IF(IF($M$4&lt;11,OFFSET('grunds. zuwendungsf. Ausgaben'!O57,0,$M$4),)=0,"",IF($M$4&lt;11,OFFSET('grunds. zuwendungsf. Ausgaben'!O57,0,$M$4),))</f>
        <v/>
      </c>
      <c r="I104" s="67" t="str">
        <f ca="1">IF(IF($M$4&lt;10,OFFSET('grunds. zuwendungsf. Ausgaben'!P57,0,$M$4),)=0,"",IF($M$4&lt;10,OFFSET('grunds. zuwendungsf. Ausgaben'!P57,0,$M$4),))</f>
        <v/>
      </c>
      <c r="J104" s="67" t="str">
        <f ca="1">IF(IF($M$4&lt;9,OFFSET('grunds. zuwendungsf. Ausgaben'!Q57,0,$M$4),)=0,"",IF($M$4&lt;9,OFFSET('grunds. zuwendungsf. Ausgaben'!Q57,0,$M$4),))</f>
        <v/>
      </c>
      <c r="K104" s="69" t="str">
        <f ca="1">IF(IF($M$4&lt;8,SUM(OFFSET('grunds. zuwendungsf. Ausgaben'!R57,0,$M$4):'grunds. zuwendungsf. Ausgaben'!Y57),0)=0,"",IF($M$4&lt;8,SUM(OFFSET('grunds. zuwendungsf. Ausgaben'!R57,0,$M$4):'grunds. zuwendungsf. Ausgaben'!Y57),0))</f>
        <v/>
      </c>
      <c r="L104" s="62" t="str">
        <f>IF('grunds. zuwendungsf. Ausgaben'!D57="","",'grunds. zuwendungsf. Ausgaben'!D57)</f>
        <v/>
      </c>
      <c r="M104" s="63" t="str">
        <f>IF('grunds. zuwendungsf. Ausgaben'!E57="","",'grunds. zuwendungsf. Ausgaben'!E57)</f>
        <v/>
      </c>
      <c r="N104" s="63" t="str">
        <f>IF('grunds. zuwendungsf. Ausgaben'!F57="","",'grunds. zuwendungsf. Ausgaben'!F57)</f>
        <v/>
      </c>
      <c r="O104" s="64" t="str">
        <f>IF('grunds. zuwendungsf. Ausgaben'!G57="","",'grunds. zuwendungsf. Ausgaben'!G57)</f>
        <v/>
      </c>
      <c r="P104" s="249" t="str">
        <f>IF('grunds. zuwendungsf. Ausgaben'!H57="","",'grunds. zuwendungsf. Ausgaben'!H57)</f>
        <v/>
      </c>
      <c r="Q104" s="250" t="str">
        <f>IF('grunds. zuwendungsf. Ausgaben'!AA57="","",'grunds. zuwendungsf. Ausgaben'!AA57)</f>
        <v/>
      </c>
      <c r="R104" s="251" t="str">
        <f>IF('grunds. zuwendungsf. Ausgaben'!AB57="","",'grunds. zuwendungsf. Ausgaben'!AB57)</f>
        <v/>
      </c>
      <c r="S104" s="255" t="str">
        <f>IF('grunds. zuwendungsf. Ausgaben'!AC57="","",'grunds. zuwendungsf. Ausgaben'!AC57)</f>
        <v/>
      </c>
    </row>
    <row r="105" spans="1:19" ht="18" customHeight="1" thickBot="1">
      <c r="A105" s="44">
        <v>50</v>
      </c>
      <c r="B105" s="58" t="str">
        <f>IF('grunds. zuwendungsf. Ausgaben'!B58="","",'grunds. zuwendungsf. Ausgaben'!B58)</f>
        <v/>
      </c>
      <c r="C105" s="56" t="str">
        <f>IF('grunds. zuwendungsf. Ausgaben'!C58="","",'grunds. zuwendungsf. Ausgaben'!C58)</f>
        <v/>
      </c>
      <c r="D105" s="66">
        <f ca="1">SUM(Zuw_Ausgaben_KuF[[#This Row],[E]:[K]])</f>
        <v>0</v>
      </c>
      <c r="E105" s="67" t="str">
        <f ca="1">IF(SUM('grunds. zuwendungsf. Ausgaben'!L58:OFFSET('grunds. zuwendungsf. Ausgaben'!L58,0,$M$4))=0,"",SUM('grunds. zuwendungsf. Ausgaben'!L58:OFFSET('grunds. zuwendungsf. Ausgaben'!L58,0,$M$4)))</f>
        <v/>
      </c>
      <c r="F105" s="68" t="str">
        <f ca="1">IF(IF($M$4&lt;13,OFFSET('grunds. zuwendungsf. Ausgaben'!M58,0,$M$4),)=0,"",IF($M$4&lt;13,OFFSET('grunds. zuwendungsf. Ausgaben'!M58,0,$M$4),))</f>
        <v/>
      </c>
      <c r="G105" s="67" t="str">
        <f ca="1">IF(IF($M$4&lt;12,OFFSET('grunds. zuwendungsf. Ausgaben'!N58,0,$M$4),)=0,"",IF($M$4&lt;12,OFFSET('grunds. zuwendungsf. Ausgaben'!N58,0,$M$4),))</f>
        <v/>
      </c>
      <c r="H105" s="67" t="str">
        <f ca="1">IF(IF($M$4&lt;11,OFFSET('grunds. zuwendungsf. Ausgaben'!O58,0,$M$4),)=0,"",IF($M$4&lt;11,OFFSET('grunds. zuwendungsf. Ausgaben'!O58,0,$M$4),))</f>
        <v/>
      </c>
      <c r="I105" s="67" t="str">
        <f ca="1">IF(IF($M$4&lt;10,OFFSET('grunds. zuwendungsf. Ausgaben'!P58,0,$M$4),)=0,"",IF($M$4&lt;10,OFFSET('grunds. zuwendungsf. Ausgaben'!P58,0,$M$4),))</f>
        <v/>
      </c>
      <c r="J105" s="67" t="str">
        <f ca="1">IF(IF($M$4&lt;9,OFFSET('grunds. zuwendungsf. Ausgaben'!Q58,0,$M$4),)=0,"",IF($M$4&lt;9,OFFSET('grunds. zuwendungsf. Ausgaben'!Q58,0,$M$4),))</f>
        <v/>
      </c>
      <c r="K105" s="67" t="str">
        <f ca="1">IF(IF($M$4&lt;8,SUM(OFFSET('grunds. zuwendungsf. Ausgaben'!R58,0,$M$4):'grunds. zuwendungsf. Ausgaben'!Y58),0)=0,"",IF($M$4&lt;8,SUM(OFFSET('grunds. zuwendungsf. Ausgaben'!R58,0,$M$4):'grunds. zuwendungsf. Ausgaben'!Y58),0))</f>
        <v/>
      </c>
      <c r="L105" s="559" t="str">
        <f>IF('grunds. zuwendungsf. Ausgaben'!D58="","",'grunds. zuwendungsf. Ausgaben'!D58)</f>
        <v/>
      </c>
      <c r="M105" s="560" t="str">
        <f>IF('grunds. zuwendungsf. Ausgaben'!E58="","",'grunds. zuwendungsf. Ausgaben'!E58)</f>
        <v/>
      </c>
      <c r="N105" s="560" t="str">
        <f>IF('grunds. zuwendungsf. Ausgaben'!F58="","",'grunds. zuwendungsf. Ausgaben'!F58)</f>
        <v/>
      </c>
      <c r="O105" s="561" t="str">
        <f>IF('grunds. zuwendungsf. Ausgaben'!G58="","",'grunds. zuwendungsf. Ausgaben'!G58)</f>
        <v/>
      </c>
      <c r="P105" s="249" t="str">
        <f>IF('grunds. zuwendungsf. Ausgaben'!H58="","",'grunds. zuwendungsf. Ausgaben'!H58)</f>
        <v/>
      </c>
      <c r="Q105" s="250" t="str">
        <f>IF('grunds. zuwendungsf. Ausgaben'!AA58="","",'grunds. zuwendungsf. Ausgaben'!AA58)</f>
        <v/>
      </c>
      <c r="R105" s="251" t="str">
        <f>IF('grunds. zuwendungsf. Ausgaben'!AB58="","",'grunds. zuwendungsf. Ausgaben'!AB58)</f>
        <v/>
      </c>
      <c r="S105" s="255" t="str">
        <f>IF('grunds. zuwendungsf. Ausgaben'!AC58="","",'grunds. zuwendungsf. Ausgaben'!AC58)</f>
        <v/>
      </c>
    </row>
    <row r="106" spans="1:19" ht="18" customHeight="1" thickTop="1" thickBot="1">
      <c r="A106" s="562" t="s">
        <v>191</v>
      </c>
      <c r="B106" s="563"/>
      <c r="C106" s="564"/>
      <c r="D106" s="565">
        <f ca="1">SUBTOTAL(109,Zuw_Ausgaben_KuF[D])</f>
        <v>0</v>
      </c>
      <c r="E106" s="566">
        <f ca="1">SUBTOTAL(109,Zuw_Ausgaben_KuF[E])</f>
        <v>0</v>
      </c>
      <c r="F106" s="567">
        <f ca="1">SUBTOTAL(109,Zuw_Ausgaben_KuF[F])</f>
        <v>0</v>
      </c>
      <c r="G106" s="566">
        <f ca="1">SUBTOTAL(109,Zuw_Ausgaben_KuF[G])</f>
        <v>0</v>
      </c>
      <c r="H106" s="566">
        <f ca="1">SUBTOTAL(109,Zuw_Ausgaben_KuF[H])</f>
        <v>0</v>
      </c>
      <c r="I106" s="566">
        <f ca="1">SUBTOTAL(109,Zuw_Ausgaben_KuF[I])</f>
        <v>0</v>
      </c>
      <c r="J106" s="566">
        <f ca="1">SUBTOTAL(109,Zuw_Ausgaben_KuF[J])</f>
        <v>0</v>
      </c>
      <c r="K106" s="568">
        <f ca="1">SUBTOTAL(109,Zuw_Ausgaben_KuF[K])</f>
        <v>0</v>
      </c>
      <c r="L106" s="20"/>
      <c r="M106" s="14"/>
      <c r="N106" s="14"/>
      <c r="O106" s="21"/>
      <c r="P106" s="569">
        <f>SUBTOTAL(109,Zuw_Ausgaben_KuF[P])</f>
        <v>0</v>
      </c>
      <c r="Q106" s="570">
        <f>SUBTOTAL(109,Zuw_Ausgaben_KuF[Q])</f>
        <v>0</v>
      </c>
      <c r="R106" s="571">
        <f>IFERROR(Zuw_Ausgaben_KuF[[#Totals],[Q]]/Zuw_Ausgaben_KuF[[#Totals],[P]],0)</f>
        <v>0</v>
      </c>
      <c r="S106" s="572" t="e">
        <f>SUBTOTAL(101,Zuw_Ausgaben_KuF[S])</f>
        <v>#DIV/0!</v>
      </c>
    </row>
    <row r="107" spans="1:19" ht="21.6" customHeight="1">
      <c r="A107" s="2"/>
      <c r="B107" s="2"/>
      <c r="C107" s="2"/>
      <c r="L107" s="2"/>
      <c r="M107" s="2"/>
    </row>
  </sheetData>
  <sheetProtection password="8640" sheet="1" formatRows="0" autoFilter="0"/>
  <mergeCells count="18">
    <mergeCell ref="B11:C11"/>
    <mergeCell ref="F27:J27"/>
    <mergeCell ref="C53:C54"/>
    <mergeCell ref="B53:B54"/>
    <mergeCell ref="A53:A54"/>
    <mergeCell ref="D53:D54"/>
    <mergeCell ref="B46:C46"/>
    <mergeCell ref="B42:K42"/>
    <mergeCell ref="Q53:Q54"/>
    <mergeCell ref="L53:L54"/>
    <mergeCell ref="M53:M54"/>
    <mergeCell ref="N53:N54"/>
    <mergeCell ref="O53:O54"/>
    <mergeCell ref="D5:J5"/>
    <mergeCell ref="D6:J6"/>
    <mergeCell ref="D7:J7"/>
    <mergeCell ref="D10:F10"/>
    <mergeCell ref="D9:H9"/>
  </mergeCells>
  <conditionalFormatting sqref="D43">
    <cfRule type="expression" dxfId="56" priority="31">
      <formula>$D$43&gt;$D$41</formula>
    </cfRule>
  </conditionalFormatting>
  <conditionalFormatting sqref="D9 D10:F10 D11 D5:J7 K9:K10">
    <cfRule type="containsBlanks" dxfId="55" priority="26">
      <formula>LEN(TRIM(D5))=0</formula>
    </cfRule>
  </conditionalFormatting>
  <conditionalFormatting sqref="D3 K3">
    <cfRule type="containsBlanks" dxfId="54" priority="24">
      <formula>LEN(TRIM(D3))=0</formula>
    </cfRule>
  </conditionalFormatting>
  <conditionalFormatting sqref="L56:L105">
    <cfRule type="dataBar" priority="21">
      <dataBar>
        <cfvo type="num" val="0"/>
        <cfvo type="num" val="9"/>
        <color rgb="FF63C384"/>
      </dataBar>
      <extLst>
        <ext xmlns:x14="http://schemas.microsoft.com/office/spreadsheetml/2009/9/main" uri="{B025F937-C7B1-47D3-B67F-A62EFF666E3E}">
          <x14:id>{B3D494FB-5F97-4C9A-8EBE-E3D975F231C2}</x14:id>
        </ext>
      </extLst>
    </cfRule>
  </conditionalFormatting>
  <conditionalFormatting sqref="K11">
    <cfRule type="containsBlanks" dxfId="53" priority="18">
      <formula>LEN(TRIM(K11))=0</formula>
    </cfRule>
  </conditionalFormatting>
  <conditionalFormatting sqref="L19">
    <cfRule type="cellIs" dxfId="52" priority="17" operator="lessThan">
      <formula>0.1</formula>
    </cfRule>
  </conditionalFormatting>
  <conditionalFormatting sqref="E56:K105">
    <cfRule type="cellIs" dxfId="51" priority="16" operator="equal">
      <formula>0</formula>
    </cfRule>
  </conditionalFormatting>
  <conditionalFormatting sqref="B35:K35">
    <cfRule type="expression" dxfId="50" priority="13">
      <formula>$D$34&gt;$K$9</formula>
    </cfRule>
  </conditionalFormatting>
  <conditionalFormatting sqref="B35">
    <cfRule type="expression" dxfId="49" priority="12">
      <formula>$D$34&gt;$K$9</formula>
    </cfRule>
  </conditionalFormatting>
  <conditionalFormatting sqref="R56:R105">
    <cfRule type="cellIs" dxfId="48" priority="9" operator="greaterThan">
      <formula>0</formula>
    </cfRule>
  </conditionalFormatting>
  <conditionalFormatting sqref="Q56:Q105">
    <cfRule type="cellIs" dxfId="47" priority="8" operator="greaterThan">
      <formula>0</formula>
    </cfRule>
  </conditionalFormatting>
  <conditionalFormatting sqref="D35:K35">
    <cfRule type="expression" dxfId="46" priority="7">
      <formula>D$34&lt;&gt;D$35</formula>
    </cfRule>
  </conditionalFormatting>
  <dataValidations xWindow="1930" yWindow="772" count="10">
    <dataValidation allowBlank="1" showDropDown="1" showInputMessage="1" promptTitle="Umsetzungsgrad" prompt="Wert 1-9. _x000a_Je nachdem welche (Leistungs-) Phase abgeschlossen ist._x000a_Erläuterung siehe Tabellenblatt &quot;Umsetzungsphasen&quot;" sqref="L56:L105" xr:uid="{00000000-0002-0000-0600-000000000000}"/>
    <dataValidation errorStyle="warning" allowBlank="1" showErrorMessage="1" errorTitle="Abweichende Eingabe" error="Es wurde keine Programmachse aus dem Drop-Down Menu ausgewählt." promptTitle="Programmachse" prompt="Über Drop-Down Menu auswählen." sqref="D10:F10" xr:uid="{00000000-0002-0000-0600-000001000000}"/>
    <dataValidation allowBlank="1" showInputMessage="1" showErrorMessage="1" promptTitle="Übernommener Wert aus Kerndaten" prompt="Datum des Erstantrages bzw. des 1. Folgeantrages mit dem die Ausgangsbasis der Kostenkalkulationen vorgelegt wurden." sqref="P54" xr:uid="{00000000-0002-0000-0600-000002000000}"/>
    <dataValidation allowBlank="1" showErrorMessage="1" promptTitle="Eingabe Datum" prompt="In der Regel Datum des ersten Zuwendungsbescheids in der Gesamtmaßnahme." sqref="D11" xr:uid="{00000000-0002-0000-0600-000003000000}"/>
    <dataValidation allowBlank="1" showErrorMessage="1" sqref="B3 E56:K105 M56:O105 A56:B105 S56:S105" xr:uid="{00000000-0002-0000-0600-000004000000}"/>
    <dataValidation allowBlank="1" promptTitle="Eingabe Förderzugang" prompt="Auswahl der Förderziffer nach Förderrichtlinie Stadterneuerung 2024._x000a_Siehe Tabellenblatt &quot;Fördertatbestände&quot;_x000a_" sqref="C56:C105" xr:uid="{00000000-0002-0000-0600-000005000000}"/>
    <dataValidation allowBlank="1" showInputMessage="1" showErrorMessage="1" promptTitle="Ausgangskalkulation" prompt="Zum Stichtag der Erstbeantragung bzw. des 1. Folgenatrages  (Datum siehe im Kopf der Spalte) ermittelte Ausgaben für die Teilmaßnahme mit den zu diesem Zeitpunkt gültigen Kostenparametern." sqref="P56:P105" xr:uid="{00000000-0002-0000-0600-000006000000}"/>
    <dataValidation allowBlank="1" showInputMessage="1" showErrorMessage="1" promptTitle="Gesamtausgaben" prompt="Summer von allen bereits getätigten und noch geplanten Ausgaben in der Teilmaßnahme." sqref="D56:D105" xr:uid="{00000000-0002-0000-0600-000007000000}"/>
    <dataValidation allowBlank="1" showInputMessage="1" showErrorMessage="1" promptTitle="Kostenentwicklung" prompt="Differenz der Gesamtausgaben (Spalte D) zu der Ausgangskalkulation (Spalte P)." sqref="Q56:Q105" xr:uid="{00000000-0002-0000-0600-000008000000}"/>
    <dataValidation allowBlank="1" showErrorMessage="1" promptTitle="Prozentuale Kostenentwicklung" prompt="Angabe der Kostenveränderung in Prozent." sqref="R56:R105" xr:uid="{00000000-0002-0000-0600-000009000000}"/>
  </dataValidations>
  <hyperlinks>
    <hyperlink ref="E1" location="Start!A1" display="Start" xr:uid="{00000000-0004-0000-0600-000000000000}"/>
    <hyperlink ref="G1" location="'weitere Ausgaben'!A1" display="weit. Ausgaben" xr:uid="{00000000-0004-0000-0600-000001000000}"/>
    <hyperlink ref="I1" location="Bewilligungen!A1" display="Bewilligungen" xr:uid="{00000000-0004-0000-0600-000002000000}"/>
    <hyperlink ref="H1" location="Einnahmen!A1" display="Einnahmen" xr:uid="{00000000-0004-0000-0600-000003000000}"/>
    <hyperlink ref="F1" location="'grunds. zuwendungsf. Ausgaben'!A1" display="Ausgaben" xr:uid="{00000000-0004-0000-0600-000004000000}"/>
    <hyperlink ref="J1" location="Förderantrag!A1" display="Förderantrag" xr:uid="{00000000-0004-0000-0600-000005000000}"/>
    <hyperlink ref="C53:C54" location="Fördertatbestände!A1" display="Fördertatbestände!A1" xr:uid="{00000000-0004-0000-0600-000006000000}"/>
    <hyperlink ref="L53:L54" location="Umsetzungsphasen!A1" display="Umsetzungsphasen!A1" xr:uid="{00000000-0004-0000-0600-000007000000}"/>
  </hyperlinks>
  <pageMargins left="0.70866141732283472" right="0.70866141732283472" top="0.78740157480314965" bottom="0.78740157480314965" header="0.31496062992125984" footer="0.31496062992125984"/>
  <pageSetup paperSize="8" scale="75" fitToHeight="0" orientation="landscape" r:id="rId1"/>
  <headerFooter>
    <oddHeader>&amp;CKosten- und Finanzierungsübersicht Stadterneuerung NRW</oddHeader>
    <oddFooter>&amp;RSeite &amp;P von &amp;N</oddFooter>
  </headerFooter>
  <rowBreaks count="1" manualBreakCount="1">
    <brk id="50" max="16383" man="1"/>
  </rowBreaks>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B3D494FB-5F97-4C9A-8EBE-E3D975F231C2}">
            <x14:dataBar minLength="0" maxLength="100" gradient="0">
              <x14:cfvo type="num">
                <xm:f>0</xm:f>
              </x14:cfvo>
              <x14:cfvo type="num">
                <xm:f>9</xm:f>
              </x14:cfvo>
              <x14:negativeFillColor rgb="FFFF0000"/>
              <x14:axisColor rgb="FF000000"/>
            </x14:dataBar>
          </x14:cfRule>
          <xm:sqref>L56:L105</xm:sqref>
        </x14:conditionalFormatting>
        <x14:conditionalFormatting xmlns:xm="http://schemas.microsoft.com/office/excel/2006/main">
          <x14:cfRule type="expression" priority="2" id="{CBEA4827-98D7-4A22-A800-C016B622F71E}">
            <xm:f>Förderantrag!$K$33&gt;0</xm:f>
            <x14:dxf>
              <font>
                <color rgb="FFFF0000"/>
              </font>
            </x14:dxf>
          </x14:cfRule>
          <xm:sqref>B47</xm:sqref>
        </x14:conditionalFormatting>
        <x14:conditionalFormatting xmlns:xm="http://schemas.microsoft.com/office/excel/2006/main">
          <x14:cfRule type="expression" priority="1" id="{D61431EE-56D5-4AA2-B507-DBA90A55F2DA}">
            <xm:f>$D$49&gt;Förderantrag!$C$39</xm:f>
            <x14:dxf>
              <fill>
                <patternFill>
                  <bgColor rgb="FFFF0000"/>
                </patternFill>
              </fill>
            </x14:dxf>
          </x14:cfRule>
          <xm:sqref>D49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B25"/>
  <sheetViews>
    <sheetView showGridLines="0" workbookViewId="0" xr3:uid="{85D5C41F-068E-5C55-9968-509E7C2A5619}">
      <selection activeCell="B24" sqref="B24"/>
    </sheetView>
  </sheetViews>
  <sheetFormatPr defaultColWidth="11.42578125" defaultRowHeight="15"/>
  <cols>
    <col min="1" max="1" width="10.28515625" style="1" customWidth="1"/>
    <col min="2" max="2" width="102.5703125" style="1" customWidth="1"/>
  </cols>
  <sheetData>
    <row r="1" spans="1:2" ht="23.45" customHeight="1">
      <c r="A1" s="46" t="s">
        <v>192</v>
      </c>
      <c r="B1" s="46"/>
    </row>
    <row r="2" spans="1:2" ht="15.75">
      <c r="A2" s="47" t="s">
        <v>193</v>
      </c>
      <c r="B2" s="47" t="s">
        <v>194</v>
      </c>
    </row>
    <row r="3" spans="1:2" ht="15.75">
      <c r="A3" s="47" t="s">
        <v>195</v>
      </c>
      <c r="B3" s="47" t="s">
        <v>196</v>
      </c>
    </row>
    <row r="4" spans="1:2" ht="15.75">
      <c r="A4" s="47" t="s">
        <v>197</v>
      </c>
      <c r="B4" s="47" t="s">
        <v>198</v>
      </c>
    </row>
    <row r="5" spans="1:2" ht="15.75">
      <c r="A5" s="47" t="s">
        <v>199</v>
      </c>
      <c r="B5" s="47" t="s">
        <v>200</v>
      </c>
    </row>
    <row r="6" spans="1:2" ht="15.75">
      <c r="A6" s="47" t="s">
        <v>201</v>
      </c>
      <c r="B6" s="47" t="s">
        <v>202</v>
      </c>
    </row>
    <row r="7" spans="1:2" ht="15.75">
      <c r="A7" s="47" t="s">
        <v>203</v>
      </c>
      <c r="B7" s="47" t="s">
        <v>204</v>
      </c>
    </row>
    <row r="8" spans="1:2" ht="15.75">
      <c r="A8" s="47" t="s">
        <v>205</v>
      </c>
      <c r="B8" s="47" t="s">
        <v>206</v>
      </c>
    </row>
    <row r="9" spans="1:2" ht="15.75">
      <c r="A9" s="47" t="s">
        <v>207</v>
      </c>
      <c r="B9" s="47" t="s">
        <v>208</v>
      </c>
    </row>
    <row r="10" spans="1:2" ht="15.75">
      <c r="A10" s="47" t="s">
        <v>209</v>
      </c>
      <c r="B10" s="47" t="s">
        <v>210</v>
      </c>
    </row>
    <row r="11" spans="1:2" ht="15.75">
      <c r="A11" s="47" t="s">
        <v>211</v>
      </c>
      <c r="B11" s="47" t="s">
        <v>212</v>
      </c>
    </row>
    <row r="12" spans="1:2" ht="15.75">
      <c r="A12" s="47" t="s">
        <v>213</v>
      </c>
      <c r="B12" s="47" t="s">
        <v>214</v>
      </c>
    </row>
    <row r="13" spans="1:2" ht="15.75">
      <c r="A13" s="47" t="s">
        <v>215</v>
      </c>
      <c r="B13" s="47" t="s">
        <v>216</v>
      </c>
    </row>
    <row r="14" spans="1:2" ht="15.75">
      <c r="A14" s="47" t="s">
        <v>217</v>
      </c>
      <c r="B14" s="47" t="s">
        <v>218</v>
      </c>
    </row>
    <row r="15" spans="1:2" ht="15.75">
      <c r="A15" s="47" t="s">
        <v>219</v>
      </c>
      <c r="B15" s="47" t="s">
        <v>220</v>
      </c>
    </row>
    <row r="16" spans="1:2" ht="15.75">
      <c r="A16" s="47" t="s">
        <v>221</v>
      </c>
      <c r="B16" s="47" t="s">
        <v>222</v>
      </c>
    </row>
    <row r="17" spans="1:2" ht="15" customHeight="1">
      <c r="A17" s="47" t="s">
        <v>223</v>
      </c>
      <c r="B17" s="47" t="s">
        <v>224</v>
      </c>
    </row>
    <row r="18" spans="1:2" ht="15" customHeight="1">
      <c r="A18" s="47" t="s">
        <v>225</v>
      </c>
      <c r="B18" s="47" t="s">
        <v>226</v>
      </c>
    </row>
    <row r="19" spans="1:2" ht="15" customHeight="1">
      <c r="A19" s="47" t="s">
        <v>227</v>
      </c>
      <c r="B19" s="47" t="s">
        <v>228</v>
      </c>
    </row>
    <row r="20" spans="1:2" ht="15.75">
      <c r="A20" s="47" t="s">
        <v>229</v>
      </c>
      <c r="B20" s="47" t="s">
        <v>230</v>
      </c>
    </row>
    <row r="21" spans="1:2" ht="15.75">
      <c r="A21" s="47" t="s">
        <v>231</v>
      </c>
      <c r="B21" s="47" t="s">
        <v>232</v>
      </c>
    </row>
    <row r="22" spans="1:2" ht="15.75">
      <c r="A22" s="47" t="s">
        <v>233</v>
      </c>
      <c r="B22" s="47" t="s">
        <v>234</v>
      </c>
    </row>
    <row r="24" spans="1:2" ht="19.899999999999999" customHeight="1">
      <c r="B24" s="453" t="s">
        <v>235</v>
      </c>
    </row>
    <row r="25" spans="1:2" ht="19.899999999999999" customHeight="1">
      <c r="B25" s="335" t="s">
        <v>236</v>
      </c>
    </row>
  </sheetData>
  <sheetProtection password="8640" sheet="1" objects="1" scenarios="1"/>
  <hyperlinks>
    <hyperlink ref="B24" location="'grunds. zuwendungsf. Ausgaben'!A1" display="Zurück zur Übersicht der Ausgaben" xr:uid="{00000000-0004-0000-0700-000000000000}"/>
    <hyperlink ref="B25" location="'KuF Zusammenfassung'!A1" display="Zurück zur KuF Zusammenfassung" xr:uid="{00000000-0004-0000-0700-000001000000}"/>
  </hyperlinks>
  <pageMargins left="0.7" right="0.7" top="0.78740157499999996" bottom="0.78740157499999996" header="0.3" footer="0.3"/>
  <pageSetup paperSize="9" orientation="portrait" r:id="rId1"/>
  <ignoredErrors>
    <ignoredError sqref="A15:A16" twoDigitTextYear="1"/>
    <ignoredError sqref="A2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E14"/>
  <sheetViews>
    <sheetView showGridLines="0" workbookViewId="0" xr3:uid="{44B22561-5205-5C8A-B808-2C70100D228F}">
      <selection activeCell="B13" sqref="B13"/>
    </sheetView>
  </sheetViews>
  <sheetFormatPr defaultColWidth="11.5703125" defaultRowHeight="15.75"/>
  <cols>
    <col min="1" max="1" width="6.140625" style="26" customWidth="1"/>
    <col min="2" max="2" width="55.85546875" style="25" customWidth="1"/>
    <col min="3" max="3" width="76.42578125" style="25" customWidth="1"/>
    <col min="4" max="4" width="50.42578125" style="26" customWidth="1"/>
    <col min="5" max="5" width="43.42578125" style="25" customWidth="1"/>
    <col min="6" max="16384" width="11.5703125" style="26"/>
  </cols>
  <sheetData>
    <row r="1" spans="1:5">
      <c r="A1" s="6" t="s">
        <v>237</v>
      </c>
    </row>
    <row r="2" spans="1:5" s="6" customFormat="1" ht="63">
      <c r="A2" s="30" t="s">
        <v>238</v>
      </c>
      <c r="B2" s="31" t="s">
        <v>239</v>
      </c>
      <c r="C2" s="31" t="s">
        <v>240</v>
      </c>
      <c r="D2" s="31" t="s">
        <v>241</v>
      </c>
      <c r="E2" s="31" t="s">
        <v>242</v>
      </c>
    </row>
    <row r="3" spans="1:5">
      <c r="A3" s="27">
        <v>1</v>
      </c>
      <c r="B3" s="28" t="s">
        <v>243</v>
      </c>
      <c r="C3" s="28" t="s">
        <v>244</v>
      </c>
      <c r="D3" s="28" t="s">
        <v>244</v>
      </c>
      <c r="E3" s="28" t="s">
        <v>244</v>
      </c>
    </row>
    <row r="4" spans="1:5">
      <c r="A4" s="27">
        <v>2</v>
      </c>
      <c r="B4" s="28" t="s">
        <v>245</v>
      </c>
      <c r="C4" s="28"/>
      <c r="D4" s="29"/>
      <c r="E4" s="28"/>
    </row>
    <row r="5" spans="1:5">
      <c r="A5" s="27">
        <v>3</v>
      </c>
      <c r="B5" s="28" t="s">
        <v>246</v>
      </c>
      <c r="C5" s="28" t="s">
        <v>247</v>
      </c>
      <c r="D5" s="29" t="s">
        <v>248</v>
      </c>
      <c r="E5" s="28" t="s">
        <v>249</v>
      </c>
    </row>
    <row r="6" spans="1:5">
      <c r="A6" s="27">
        <v>4</v>
      </c>
      <c r="B6" s="28" t="s">
        <v>250</v>
      </c>
      <c r="C6" s="28"/>
      <c r="D6" s="29"/>
      <c r="E6" s="28"/>
    </row>
    <row r="7" spans="1:5">
      <c r="A7" s="27">
        <v>5</v>
      </c>
      <c r="B7" s="28" t="s">
        <v>251</v>
      </c>
      <c r="C7" s="28"/>
      <c r="D7" s="29" t="s">
        <v>252</v>
      </c>
      <c r="E7" s="28"/>
    </row>
    <row r="8" spans="1:5">
      <c r="A8" s="27">
        <v>6</v>
      </c>
      <c r="B8" s="28" t="s">
        <v>253</v>
      </c>
      <c r="C8" s="28" t="s">
        <v>254</v>
      </c>
      <c r="D8" s="29" t="s">
        <v>255</v>
      </c>
      <c r="E8" s="28" t="s">
        <v>256</v>
      </c>
    </row>
    <row r="9" spans="1:5" ht="31.5">
      <c r="A9" s="27">
        <v>7</v>
      </c>
      <c r="B9" s="28" t="s">
        <v>257</v>
      </c>
      <c r="C9" s="28" t="s">
        <v>258</v>
      </c>
      <c r="D9" s="29" t="s">
        <v>259</v>
      </c>
      <c r="E9" s="28" t="s">
        <v>260</v>
      </c>
    </row>
    <row r="10" spans="1:5">
      <c r="A10" s="27">
        <v>8</v>
      </c>
      <c r="B10" s="28" t="s">
        <v>261</v>
      </c>
      <c r="C10" s="28" t="s">
        <v>262</v>
      </c>
      <c r="D10" s="29" t="s">
        <v>263</v>
      </c>
      <c r="E10" s="28" t="s">
        <v>264</v>
      </c>
    </row>
    <row r="11" spans="1:5">
      <c r="A11" s="27">
        <v>9</v>
      </c>
      <c r="B11" s="28" t="s">
        <v>265</v>
      </c>
      <c r="C11" s="28" t="s">
        <v>266</v>
      </c>
      <c r="D11" s="29" t="s">
        <v>267</v>
      </c>
      <c r="E11" s="28" t="s">
        <v>268</v>
      </c>
    </row>
    <row r="13" spans="1:5" customFormat="1" ht="19.899999999999999" customHeight="1">
      <c r="A13" s="1"/>
      <c r="B13" s="453" t="s">
        <v>235</v>
      </c>
    </row>
    <row r="14" spans="1:5" customFormat="1" ht="19.899999999999999" customHeight="1">
      <c r="A14" s="1"/>
      <c r="B14" s="335" t="s">
        <v>236</v>
      </c>
    </row>
  </sheetData>
  <sheetProtection password="8640" sheet="1" objects="1" scenarios="1"/>
  <hyperlinks>
    <hyperlink ref="B13" location="'grunds. zuwendungsf. Ausgaben'!A1" display="Zurück zur Übersicht der Ausgaben" xr:uid="{00000000-0004-0000-0800-000000000000}"/>
    <hyperlink ref="B14" location="'KuF Zusammenfassung'!A1" display="Zurück zur KuF Zusammenfassung" xr:uid="{00000000-0004-0000-0800-000001000000}"/>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61914B1D3EEA041A046B1AAF80B3C36" ma:contentTypeVersion="2" ma:contentTypeDescription="Ein neues Dokument erstellen." ma:contentTypeScope="" ma:versionID="69494f924b5dc9c7dd6b3033e14ca3a8">
  <xsd:schema xmlns:xsd="http://www.w3.org/2001/XMLSchema" xmlns:xs="http://www.w3.org/2001/XMLSchema" xmlns:p="http://schemas.microsoft.com/office/2006/metadata/properties" xmlns:ns2="436c5e65-5eda-4169-8fbb-bbf564394112" targetNamespace="http://schemas.microsoft.com/office/2006/metadata/properties" ma:root="true" ma:fieldsID="5c2ca7e392d93ce27ee3607d870e00cc" ns2:_="">
    <xsd:import namespace="436c5e65-5eda-4169-8fbb-bbf56439411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c5e65-5eda-4169-8fbb-bbf564394112"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89F4E6-A24F-4B9E-9476-3E72CDB3F19C}"/>
</file>

<file path=customXml/itemProps2.xml><?xml version="1.0" encoding="utf-8"?>
<ds:datastoreItem xmlns:ds="http://schemas.openxmlformats.org/officeDocument/2006/customXml" ds:itemID="{DA63E6D9-8BC7-4FE4-BC0A-62B43CBD304C}"/>
</file>

<file path=customXml/itemProps3.xml><?xml version="1.0" encoding="utf-8"?>
<ds:datastoreItem xmlns:ds="http://schemas.openxmlformats.org/officeDocument/2006/customXml" ds:itemID="{E07E2A46-3CD8-4D02-B132-48EA58743788}"/>
</file>

<file path=docProps/app.xml><?xml version="1.0" encoding="utf-8"?>
<Properties xmlns="http://schemas.openxmlformats.org/officeDocument/2006/extended-properties" xmlns:vt="http://schemas.openxmlformats.org/officeDocument/2006/docPropsVTypes">
  <Application>Microsoft Excel Online</Application>
  <Manager/>
  <Company>Bezirksregierung Münster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Bardehle, Frank</dc:creator>
  <cp:keywords/>
  <dc:description/>
  <cp:lastModifiedBy>Bardehle, Frank</cp:lastModifiedBy>
  <cp:revision/>
  <dcterms:created xsi:type="dcterms:W3CDTF">2022-12-13T14:36:54Z</dcterms:created>
  <dcterms:modified xsi:type="dcterms:W3CDTF">2025-10-16T09:39:29Z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0x010100F61914B1D3EEA041A046B1AAF80B3C36</vt:lpwstr>
  </property>
  <property fmtid="{D5CDD505-2E9C-101B-9397-08002B2CF9AE}" pid="3" name="domea-BRM">
    <vt:lpwstr>913DF290-71A6-11EE-9257-F308980C94AE</vt:lpwstr>
  </property>
</Properties>
</file>